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firstSheet="1" activeTab="8"/>
  </bookViews>
  <sheets>
    <sheet name="1500" sheetId="2" r:id="rId1"/>
    <sheet name="600" sheetId="3" r:id="rId2"/>
    <sheet name="SSA_SR" sheetId="4" r:id="rId3"/>
    <sheet name="PPA" sheetId="6" r:id="rId4"/>
    <sheet name="PPB" sheetId="7" r:id="rId5"/>
    <sheet name="Opticals" sheetId="8" r:id="rId6"/>
    <sheet name="Serv A" sheetId="9" r:id="rId7"/>
    <sheet name="Serv B" sheetId="10" r:id="rId8"/>
    <sheet name="Pocket" sheetId="11" r:id="rId9"/>
    <sheet name="Carry" sheetId="12" r:id="rId10"/>
    <sheet name="Magnum" sheetId="13" r:id="rId11"/>
    <sheet name="RIFLES" sheetId="14" r:id="rId12"/>
    <sheet name="SP CF L25" sheetId="15" r:id="rId13"/>
    <sheet name="Air Pistol" sheetId="16" r:id="rId14"/>
    <sheet name="FP 50Y" sheetId="17" r:id="rId15"/>
    <sheet name="RFP MRF" sheetId="18" r:id="rId16"/>
    <sheet name="STD Pistol" sheetId="19" r:id="rId17"/>
  </sheets>
  <definedNames>
    <definedName name="_xlnm._FilterDatabase" localSheetId="0" hidden="1">'1500'!$B$7:$N$7</definedName>
    <definedName name="_xlnm._FilterDatabase" localSheetId="1" hidden="1">'600'!$B$8:$M$14</definedName>
    <definedName name="_xlnm.Print_Area" localSheetId="16">'STD Pistol'!$A$1:$K$23</definedName>
  </definedNames>
  <calcPr calcId="124519"/>
</workbook>
</file>

<file path=xl/calcChain.xml><?xml version="1.0" encoding="utf-8"?>
<calcChain xmlns="http://schemas.openxmlformats.org/spreadsheetml/2006/main">
  <c r="O10" i="7"/>
  <c r="P10"/>
  <c r="M37" i="14"/>
  <c r="O10" i="9"/>
  <c r="O11"/>
  <c r="O8"/>
  <c r="M16" i="10"/>
  <c r="N22"/>
  <c r="M12"/>
  <c r="N11"/>
  <c r="O7" i="7"/>
  <c r="P7"/>
  <c r="N21" i="9"/>
  <c r="M13"/>
  <c r="M22" i="8"/>
  <c r="N24"/>
  <c r="M10" i="3"/>
  <c r="O10" s="1"/>
  <c r="N10"/>
  <c r="M20"/>
  <c r="N20"/>
  <c r="N29"/>
  <c r="M26"/>
  <c r="N12" i="13"/>
  <c r="O15"/>
  <c r="O11" i="11"/>
  <c r="P15"/>
  <c r="O15" i="7"/>
  <c r="P14"/>
  <c r="P17" i="2"/>
  <c r="M10" i="10" l="1"/>
  <c r="N10"/>
  <c r="M11" i="9"/>
  <c r="N10"/>
  <c r="O21" i="12"/>
  <c r="P23"/>
  <c r="F21"/>
  <c r="O39" i="4"/>
  <c r="N40"/>
  <c r="N11"/>
  <c r="O12"/>
  <c r="O20"/>
  <c r="N17"/>
  <c r="N12"/>
  <c r="O11"/>
  <c r="O23" i="3"/>
  <c r="M23"/>
  <c r="N23"/>
  <c r="N35"/>
  <c r="M32"/>
  <c r="N9" i="13"/>
  <c r="O9"/>
  <c r="O15" i="11"/>
  <c r="P13"/>
  <c r="F15"/>
  <c r="O22" i="7"/>
  <c r="R22" s="1"/>
  <c r="P22"/>
  <c r="O17"/>
  <c r="P23"/>
  <c r="O20"/>
  <c r="P21"/>
  <c r="O35"/>
  <c r="P40"/>
  <c r="L33" i="16"/>
  <c r="M41"/>
  <c r="L21"/>
  <c r="M21" s="1"/>
  <c r="M45"/>
  <c r="N45" s="1"/>
  <c r="M43"/>
  <c r="N43" s="1"/>
  <c r="L17"/>
  <c r="M17" s="1"/>
  <c r="F25" i="11"/>
  <c r="O32"/>
  <c r="P31"/>
  <c r="F32"/>
  <c r="L45" i="15"/>
  <c r="H45"/>
  <c r="L44"/>
  <c r="H44"/>
  <c r="O14" i="12"/>
  <c r="P22"/>
  <c r="F14"/>
  <c r="O12" i="8"/>
  <c r="P12"/>
  <c r="O9"/>
  <c r="P11"/>
  <c r="O29" i="6"/>
  <c r="P46"/>
  <c r="O15"/>
  <c r="P18"/>
  <c r="O11"/>
  <c r="P10"/>
  <c r="F11"/>
  <c r="I29" i="17"/>
  <c r="H29"/>
  <c r="I6" i="19"/>
  <c r="M44" i="15" l="1"/>
  <c r="M45"/>
  <c r="M39" i="16" l="1"/>
  <c r="N39" s="1"/>
  <c r="L29"/>
  <c r="L12"/>
  <c r="M12" s="1"/>
  <c r="N27" i="14"/>
  <c r="O27"/>
  <c r="L51"/>
  <c r="M50"/>
  <c r="N16" i="13" l="1"/>
  <c r="O16"/>
  <c r="M21" i="18" l="1"/>
  <c r="J21"/>
  <c r="G21"/>
  <c r="M12" i="3"/>
  <c r="O12" s="1"/>
  <c r="N12"/>
  <c r="N9" i="2"/>
  <c r="O9"/>
  <c r="M28" i="3"/>
  <c r="N28"/>
  <c r="F28"/>
  <c r="O38" i="12"/>
  <c r="P53"/>
  <c r="F38"/>
  <c r="N24" i="4"/>
  <c r="O29"/>
  <c r="N22"/>
  <c r="O19"/>
  <c r="I10" i="19"/>
  <c r="J10" s="1"/>
  <c r="L20" i="16"/>
  <c r="L13" i="18"/>
  <c r="H13"/>
  <c r="M13" s="1"/>
  <c r="L12"/>
  <c r="H12"/>
  <c r="L15"/>
  <c r="H15"/>
  <c r="L6"/>
  <c r="M6" s="1"/>
  <c r="H6"/>
  <c r="L5"/>
  <c r="H5"/>
  <c r="M5" s="1"/>
  <c r="I11" i="17"/>
  <c r="H23"/>
  <c r="H24"/>
  <c r="I24" s="1"/>
  <c r="H25"/>
  <c r="L37" i="15"/>
  <c r="L35"/>
  <c r="H37"/>
  <c r="H35"/>
  <c r="L7"/>
  <c r="H7"/>
  <c r="O24" i="12"/>
  <c r="P20"/>
  <c r="F24"/>
  <c r="O12" i="6"/>
  <c r="P9"/>
  <c r="L49" i="14"/>
  <c r="M49"/>
  <c r="L35"/>
  <c r="M24" i="9"/>
  <c r="N24"/>
  <c r="F24"/>
  <c r="M16"/>
  <c r="F16"/>
  <c r="M27"/>
  <c r="N37"/>
  <c r="F27"/>
  <c r="N26" i="14"/>
  <c r="O28"/>
  <c r="N28"/>
  <c r="O26"/>
  <c r="N8"/>
  <c r="O18"/>
  <c r="I25" i="17" l="1"/>
  <c r="M35" i="15"/>
  <c r="M15" i="18"/>
  <c r="N21"/>
  <c r="M12"/>
  <c r="M37" i="15"/>
  <c r="M7"/>
  <c r="N15" i="14" l="1"/>
  <c r="O17"/>
  <c r="M25" i="18"/>
  <c r="J25"/>
  <c r="G25"/>
  <c r="M22"/>
  <c r="J22"/>
  <c r="G22"/>
  <c r="M24"/>
  <c r="J24"/>
  <c r="G24"/>
  <c r="N19" i="14"/>
  <c r="O11"/>
  <c r="M27" i="8"/>
  <c r="N26"/>
  <c r="N36" i="3"/>
  <c r="M36"/>
  <c r="F36"/>
  <c r="P15" i="8"/>
  <c r="O13"/>
  <c r="O15"/>
  <c r="P14"/>
  <c r="L6" i="15"/>
  <c r="H6"/>
  <c r="L19"/>
  <c r="H19"/>
  <c r="L15"/>
  <c r="H15"/>
  <c r="N32" i="4"/>
  <c r="N31"/>
  <c r="N30"/>
  <c r="M35" i="3"/>
  <c r="O35" s="1"/>
  <c r="N34"/>
  <c r="F35"/>
  <c r="I7" i="19"/>
  <c r="I12"/>
  <c r="I7" i="17"/>
  <c r="L5" i="15"/>
  <c r="H5"/>
  <c r="L11" i="18"/>
  <c r="M11" s="1"/>
  <c r="H11"/>
  <c r="N24" l="1"/>
  <c r="N25"/>
  <c r="N22"/>
  <c r="M15" i="15"/>
  <c r="N15" s="1"/>
  <c r="M5"/>
  <c r="M19"/>
  <c r="N19" s="1"/>
  <c r="M6"/>
  <c r="M50" i="16" l="1"/>
  <c r="M49"/>
  <c r="M44"/>
  <c r="N44" s="1"/>
  <c r="L14"/>
  <c r="N26" i="4" l="1"/>
  <c r="O26"/>
  <c r="N14"/>
  <c r="O22"/>
  <c r="N29"/>
  <c r="O32"/>
  <c r="O30" i="11"/>
  <c r="P32"/>
  <c r="F30"/>
  <c r="O33"/>
  <c r="F33"/>
  <c r="O17"/>
  <c r="P19"/>
  <c r="F17"/>
  <c r="O16"/>
  <c r="F16"/>
  <c r="O36" i="7"/>
  <c r="O21"/>
  <c r="R21" s="1"/>
  <c r="O23"/>
  <c r="R23" s="1"/>
  <c r="O25"/>
  <c r="O45" i="6"/>
  <c r="P32" i="4" l="1"/>
  <c r="P29"/>
  <c r="I12" i="17"/>
  <c r="I13"/>
  <c r="I10"/>
  <c r="H30"/>
  <c r="I30" s="1"/>
  <c r="H32"/>
  <c r="H33"/>
  <c r="L38" i="14"/>
  <c r="M43"/>
  <c r="L42"/>
  <c r="N42" s="1"/>
  <c r="M42"/>
  <c r="L39"/>
  <c r="M41"/>
  <c r="N16"/>
  <c r="N28" i="4"/>
  <c r="O28" i="6"/>
  <c r="P44"/>
  <c r="O22"/>
  <c r="O31"/>
  <c r="P45"/>
  <c r="O46"/>
  <c r="R46" s="1"/>
  <c r="O10" i="8" l="1"/>
  <c r="P10"/>
  <c r="M26"/>
  <c r="N23"/>
  <c r="O10" i="6"/>
  <c r="N14" i="13" l="1"/>
  <c r="O13"/>
  <c r="M29" i="3"/>
  <c r="O29" s="1"/>
  <c r="N31"/>
  <c r="O14" i="13"/>
  <c r="O14" i="14"/>
  <c r="P26" i="7"/>
  <c r="N21" i="4"/>
  <c r="O23"/>
  <c r="O17"/>
  <c r="O18" i="12"/>
  <c r="P12"/>
  <c r="F18"/>
  <c r="P9" i="11"/>
  <c r="O31"/>
  <c r="R31" s="1"/>
  <c r="P29"/>
  <c r="F31"/>
  <c r="P11"/>
  <c r="M14" i="3"/>
  <c r="N14"/>
  <c r="F14"/>
  <c r="P24" i="6"/>
  <c r="L37" i="14"/>
  <c r="P26" i="4" l="1"/>
  <c r="O28" i="3"/>
  <c r="M34"/>
  <c r="O34" s="1"/>
  <c r="F34"/>
  <c r="M21"/>
  <c r="N21"/>
  <c r="N10" i="14"/>
  <c r="O16"/>
  <c r="N8" i="4"/>
  <c r="O8"/>
  <c r="O28"/>
  <c r="N17" i="2" l="1"/>
  <c r="O16"/>
  <c r="O19" i="11"/>
  <c r="F19"/>
  <c r="I16" i="19"/>
  <c r="L16" i="15"/>
  <c r="H16"/>
  <c r="P16" i="12"/>
  <c r="N19" i="9"/>
  <c r="M14" i="10"/>
  <c r="N19"/>
  <c r="F14"/>
  <c r="O39" i="6"/>
  <c r="I15" i="19"/>
  <c r="O14" i="8"/>
  <c r="P13"/>
  <c r="H7" i="18"/>
  <c r="H8"/>
  <c r="M22" i="10"/>
  <c r="N25"/>
  <c r="O37" i="7"/>
  <c r="L34" i="15"/>
  <c r="H34"/>
  <c r="M35" i="18"/>
  <c r="J35"/>
  <c r="G35"/>
  <c r="O22" i="10" l="1"/>
  <c r="R22"/>
  <c r="M16" i="15"/>
  <c r="M34"/>
  <c r="N35" i="18"/>
  <c r="M34" i="9"/>
  <c r="F34"/>
  <c r="M27" i="10"/>
  <c r="L11" i="16"/>
  <c r="O36" i="6" l="1"/>
  <c r="M27" i="18"/>
  <c r="J27"/>
  <c r="G27"/>
  <c r="L14"/>
  <c r="H14"/>
  <c r="N14" i="14"/>
  <c r="Q19" s="1"/>
  <c r="O9"/>
  <c r="H26" i="17"/>
  <c r="I26" s="1"/>
  <c r="O11" i="12"/>
  <c r="F11"/>
  <c r="O11" i="7"/>
  <c r="P9"/>
  <c r="F11"/>
  <c r="O6" i="6"/>
  <c r="F6"/>
  <c r="M14" i="18" l="1"/>
  <c r="N27"/>
  <c r="H22" i="17"/>
  <c r="O10" i="14" l="1"/>
  <c r="L8" i="15"/>
  <c r="H8"/>
  <c r="M40" i="16"/>
  <c r="O20" i="6"/>
  <c r="P17" i="12"/>
  <c r="O20"/>
  <c r="F20"/>
  <c r="P57"/>
  <c r="I21" i="19"/>
  <c r="M36" i="18"/>
  <c r="J36"/>
  <c r="G36"/>
  <c r="M38"/>
  <c r="J38"/>
  <c r="G38"/>
  <c r="M39"/>
  <c r="J39"/>
  <c r="G39"/>
  <c r="O36" i="11"/>
  <c r="F36"/>
  <c r="O40"/>
  <c r="F40"/>
  <c r="L7" i="18"/>
  <c r="L10"/>
  <c r="L8"/>
  <c r="L9"/>
  <c r="H10"/>
  <c r="H9"/>
  <c r="M45"/>
  <c r="J45"/>
  <c r="G45"/>
  <c r="M46"/>
  <c r="J46"/>
  <c r="G46"/>
  <c r="O45" i="12"/>
  <c r="F45"/>
  <c r="M26" i="18"/>
  <c r="J26"/>
  <c r="G26"/>
  <c r="N16" i="4"/>
  <c r="N18"/>
  <c r="P17" s="1"/>
  <c r="F18"/>
  <c r="M22" i="3"/>
  <c r="F22"/>
  <c r="M31"/>
  <c r="O31" s="1"/>
  <c r="F31"/>
  <c r="O40" i="6"/>
  <c r="P9" i="12"/>
  <c r="O55"/>
  <c r="F55"/>
  <c r="P51" i="11"/>
  <c r="P16"/>
  <c r="N11" i="9"/>
  <c r="M8"/>
  <c r="M44" i="18"/>
  <c r="J44"/>
  <c r="G44"/>
  <c r="M37"/>
  <c r="J37"/>
  <c r="G37"/>
  <c r="N12" i="10"/>
  <c r="O40" i="4"/>
  <c r="P35" i="6"/>
  <c r="L28" i="15"/>
  <c r="H28"/>
  <c r="L16" i="16"/>
  <c r="L27" i="15"/>
  <c r="M47" i="16"/>
  <c r="M46"/>
  <c r="M48"/>
  <c r="N50" s="1"/>
  <c r="O35" i="11"/>
  <c r="P36"/>
  <c r="F35"/>
  <c r="L32" i="16"/>
  <c r="L25" i="15"/>
  <c r="L26"/>
  <c r="H25"/>
  <c r="H27"/>
  <c r="H26"/>
  <c r="L36"/>
  <c r="L38"/>
  <c r="H36"/>
  <c r="H38"/>
  <c r="L10"/>
  <c r="L9"/>
  <c r="L11"/>
  <c r="L12"/>
  <c r="L13"/>
  <c r="L17"/>
  <c r="L18"/>
  <c r="L14"/>
  <c r="H10"/>
  <c r="H9"/>
  <c r="H11"/>
  <c r="H12"/>
  <c r="H13"/>
  <c r="H17"/>
  <c r="H18"/>
  <c r="H14"/>
  <c r="O30" i="12"/>
  <c r="P18"/>
  <c r="F30"/>
  <c r="P19"/>
  <c r="O18" i="11"/>
  <c r="F18"/>
  <c r="G23" i="18"/>
  <c r="J23"/>
  <c r="M23"/>
  <c r="G28"/>
  <c r="J28"/>
  <c r="M28"/>
  <c r="H20" i="17"/>
  <c r="H35"/>
  <c r="I9"/>
  <c r="I5"/>
  <c r="I8"/>
  <c r="I14"/>
  <c r="I6"/>
  <c r="H31"/>
  <c r="I31" s="1"/>
  <c r="I20" i="19"/>
  <c r="J21"/>
  <c r="I17"/>
  <c r="I19"/>
  <c r="I14"/>
  <c r="I18"/>
  <c r="I9"/>
  <c r="I13"/>
  <c r="I11"/>
  <c r="I8"/>
  <c r="I5"/>
  <c r="M42" i="18"/>
  <c r="J42"/>
  <c r="G42"/>
  <c r="M43"/>
  <c r="J43"/>
  <c r="G43"/>
  <c r="M41"/>
  <c r="J41"/>
  <c r="G41"/>
  <c r="M40"/>
  <c r="J40"/>
  <c r="G40"/>
  <c r="H34" i="17"/>
  <c r="I34" s="1"/>
  <c r="H27"/>
  <c r="H28"/>
  <c r="H21"/>
  <c r="F52" i="16"/>
  <c r="L34"/>
  <c r="L31"/>
  <c r="L30"/>
  <c r="L28"/>
  <c r="L27"/>
  <c r="L19"/>
  <c r="L15"/>
  <c r="L18"/>
  <c r="L8"/>
  <c r="L9"/>
  <c r="L10"/>
  <c r="L13"/>
  <c r="L7"/>
  <c r="L6"/>
  <c r="L5"/>
  <c r="B52" i="14"/>
  <c r="M51"/>
  <c r="L50"/>
  <c r="B44"/>
  <c r="M35"/>
  <c r="L34"/>
  <c r="M40"/>
  <c r="L40"/>
  <c r="L41"/>
  <c r="N41" s="1"/>
  <c r="M39"/>
  <c r="L36"/>
  <c r="N39" s="1"/>
  <c r="O39" s="1"/>
  <c r="M34"/>
  <c r="M36"/>
  <c r="M38"/>
  <c r="L43"/>
  <c r="N43" s="1"/>
  <c r="B29"/>
  <c r="B20"/>
  <c r="N12"/>
  <c r="O25"/>
  <c r="N25"/>
  <c r="O13"/>
  <c r="N17"/>
  <c r="O19"/>
  <c r="N18"/>
  <c r="Q18" s="1"/>
  <c r="O15"/>
  <c r="N11"/>
  <c r="O12"/>
  <c r="N13"/>
  <c r="N9"/>
  <c r="O8"/>
  <c r="B18" i="13"/>
  <c r="O17"/>
  <c r="N13"/>
  <c r="O8"/>
  <c r="N17"/>
  <c r="N8"/>
  <c r="N15"/>
  <c r="O12"/>
  <c r="O11"/>
  <c r="N10"/>
  <c r="O10"/>
  <c r="N11"/>
  <c r="B58" i="12"/>
  <c r="O42"/>
  <c r="F42"/>
  <c r="P56"/>
  <c r="O53"/>
  <c r="F53"/>
  <c r="O36"/>
  <c r="F36"/>
  <c r="O39"/>
  <c r="F39"/>
  <c r="O49"/>
  <c r="F49"/>
  <c r="O40"/>
  <c r="F40"/>
  <c r="O51"/>
  <c r="F51"/>
  <c r="O54"/>
  <c r="R53" s="1"/>
  <c r="F54"/>
  <c r="P55"/>
  <c r="O47"/>
  <c r="F47"/>
  <c r="O57"/>
  <c r="F57"/>
  <c r="P37"/>
  <c r="O26"/>
  <c r="F26"/>
  <c r="O56"/>
  <c r="F56"/>
  <c r="O34"/>
  <c r="F34"/>
  <c r="P54"/>
  <c r="O52"/>
  <c r="F52"/>
  <c r="P32"/>
  <c r="O37"/>
  <c r="F37"/>
  <c r="P31"/>
  <c r="O41"/>
  <c r="F41"/>
  <c r="P30"/>
  <c r="P29"/>
  <c r="O44"/>
  <c r="F44"/>
  <c r="P27"/>
  <c r="P26"/>
  <c r="O46"/>
  <c r="F46"/>
  <c r="P52"/>
  <c r="P51"/>
  <c r="O23"/>
  <c r="F23"/>
  <c r="P50"/>
  <c r="P49"/>
  <c r="P48"/>
  <c r="O50"/>
  <c r="F50"/>
  <c r="P47"/>
  <c r="P46"/>
  <c r="O43"/>
  <c r="F43"/>
  <c r="P45"/>
  <c r="P36"/>
  <c r="O31"/>
  <c r="F31"/>
  <c r="P44"/>
  <c r="O35"/>
  <c r="F35"/>
  <c r="O48"/>
  <c r="F48"/>
  <c r="O10"/>
  <c r="F10"/>
  <c r="P42"/>
  <c r="P41"/>
  <c r="P40"/>
  <c r="P39"/>
  <c r="P38"/>
  <c r="O27"/>
  <c r="F27"/>
  <c r="O28"/>
  <c r="F28"/>
  <c r="O32"/>
  <c r="F32"/>
  <c r="P35"/>
  <c r="P34"/>
  <c r="P33"/>
  <c r="O29"/>
  <c r="F29"/>
  <c r="O25"/>
  <c r="F25"/>
  <c r="P25"/>
  <c r="P43"/>
  <c r="O33"/>
  <c r="O12"/>
  <c r="F12"/>
  <c r="O22"/>
  <c r="R22" s="1"/>
  <c r="F22"/>
  <c r="P24"/>
  <c r="O16"/>
  <c r="F16"/>
  <c r="O17"/>
  <c r="F17"/>
  <c r="P21"/>
  <c r="O13"/>
  <c r="F13"/>
  <c r="P28"/>
  <c r="O19"/>
  <c r="F19"/>
  <c r="P15"/>
  <c r="P14"/>
  <c r="P13"/>
  <c r="P11"/>
  <c r="O15"/>
  <c r="F15"/>
  <c r="P10"/>
  <c r="O9"/>
  <c r="P8"/>
  <c r="O8"/>
  <c r="B52" i="11"/>
  <c r="P30"/>
  <c r="O27"/>
  <c r="R30" s="1"/>
  <c r="F27"/>
  <c r="O43"/>
  <c r="F43"/>
  <c r="P50"/>
  <c r="O41"/>
  <c r="F41"/>
  <c r="P35"/>
  <c r="P49"/>
  <c r="O44"/>
  <c r="F44"/>
  <c r="P23"/>
  <c r="P48"/>
  <c r="O51"/>
  <c r="F51"/>
  <c r="P47"/>
  <c r="O46"/>
  <c r="F46"/>
  <c r="P46"/>
  <c r="O48"/>
  <c r="F48"/>
  <c r="P45"/>
  <c r="O38"/>
  <c r="F38"/>
  <c r="P44"/>
  <c r="O37"/>
  <c r="F37"/>
  <c r="P43"/>
  <c r="O49"/>
  <c r="F49"/>
  <c r="P42"/>
  <c r="O42"/>
  <c r="F42"/>
  <c r="P41"/>
  <c r="P40"/>
  <c r="O34"/>
  <c r="F34"/>
  <c r="P39"/>
  <c r="O47"/>
  <c r="F47"/>
  <c r="P38"/>
  <c r="O24"/>
  <c r="F24"/>
  <c r="P17"/>
  <c r="P37"/>
  <c r="O50"/>
  <c r="F50"/>
  <c r="P34"/>
  <c r="O39"/>
  <c r="F39"/>
  <c r="P33"/>
  <c r="O45"/>
  <c r="F45"/>
  <c r="O29"/>
  <c r="F29"/>
  <c r="O28"/>
  <c r="F28"/>
  <c r="P22"/>
  <c r="P26"/>
  <c r="P28"/>
  <c r="O26"/>
  <c r="F26"/>
  <c r="P27"/>
  <c r="P24"/>
  <c r="O20"/>
  <c r="R19" s="1"/>
  <c r="F20"/>
  <c r="O21"/>
  <c r="F21"/>
  <c r="O22"/>
  <c r="F22"/>
  <c r="P21"/>
  <c r="P20"/>
  <c r="P18"/>
  <c r="O23"/>
  <c r="O13"/>
  <c r="F13"/>
  <c r="O8"/>
  <c r="F8"/>
  <c r="P14"/>
  <c r="O14"/>
  <c r="P12"/>
  <c r="O12"/>
  <c r="F12"/>
  <c r="P10"/>
  <c r="O10"/>
  <c r="F10"/>
  <c r="O9"/>
  <c r="F9"/>
  <c r="P8"/>
  <c r="B33" i="10"/>
  <c r="M31"/>
  <c r="F31"/>
  <c r="M29"/>
  <c r="F29"/>
  <c r="M25"/>
  <c r="M26"/>
  <c r="F26"/>
  <c r="M32"/>
  <c r="F32"/>
  <c r="N21"/>
  <c r="N32"/>
  <c r="M30"/>
  <c r="F30"/>
  <c r="N31"/>
  <c r="M21"/>
  <c r="F21"/>
  <c r="M28"/>
  <c r="F28"/>
  <c r="N30"/>
  <c r="N29"/>
  <c r="N28"/>
  <c r="N27"/>
  <c r="M24"/>
  <c r="F24"/>
  <c r="N24"/>
  <c r="N26"/>
  <c r="M23"/>
  <c r="F23"/>
  <c r="M20"/>
  <c r="F20"/>
  <c r="N23"/>
  <c r="M18"/>
  <c r="F18"/>
  <c r="N20"/>
  <c r="M11"/>
  <c r="F11"/>
  <c r="M17"/>
  <c r="F17"/>
  <c r="N18"/>
  <c r="N17"/>
  <c r="M19"/>
  <c r="F19"/>
  <c r="N16"/>
  <c r="M15"/>
  <c r="F15"/>
  <c r="M13"/>
  <c r="F13"/>
  <c r="N15"/>
  <c r="N13"/>
  <c r="N14"/>
  <c r="M9"/>
  <c r="F9"/>
  <c r="N9"/>
  <c r="N8"/>
  <c r="M8"/>
  <c r="F8"/>
  <c r="B38" i="9"/>
  <c r="N23"/>
  <c r="M32"/>
  <c r="F32"/>
  <c r="N25"/>
  <c r="M37"/>
  <c r="F37"/>
  <c r="M29"/>
  <c r="F29"/>
  <c r="M35"/>
  <c r="F35"/>
  <c r="M30"/>
  <c r="F30"/>
  <c r="M33"/>
  <c r="F33"/>
  <c r="M26"/>
  <c r="F26"/>
  <c r="N36"/>
  <c r="N17"/>
  <c r="M28"/>
  <c r="N35"/>
  <c r="N34"/>
  <c r="M25"/>
  <c r="N33"/>
  <c r="N32"/>
  <c r="M31"/>
  <c r="F31"/>
  <c r="N26"/>
  <c r="M19"/>
  <c r="F19"/>
  <c r="N31"/>
  <c r="N27"/>
  <c r="M36"/>
  <c r="O37" s="1"/>
  <c r="F36"/>
  <c r="N30"/>
  <c r="N29"/>
  <c r="N28"/>
  <c r="M20"/>
  <c r="F20"/>
  <c r="M17"/>
  <c r="O24" s="1"/>
  <c r="F17"/>
  <c r="M21"/>
  <c r="O21" s="1"/>
  <c r="F21"/>
  <c r="M14"/>
  <c r="F14"/>
  <c r="N13"/>
  <c r="M22"/>
  <c r="F22"/>
  <c r="N15"/>
  <c r="N22"/>
  <c r="N16"/>
  <c r="M18"/>
  <c r="N14"/>
  <c r="M15"/>
  <c r="N20"/>
  <c r="M12"/>
  <c r="N9"/>
  <c r="N12"/>
  <c r="M23"/>
  <c r="F23"/>
  <c r="N18"/>
  <c r="M9"/>
  <c r="N8"/>
  <c r="M10"/>
  <c r="B28" i="8"/>
  <c r="N27"/>
  <c r="M25"/>
  <c r="N25"/>
  <c r="M23"/>
  <c r="M21"/>
  <c r="N22"/>
  <c r="M24"/>
  <c r="N21"/>
  <c r="B16"/>
  <c r="O8"/>
  <c r="O11"/>
  <c r="P9"/>
  <c r="P8"/>
  <c r="B42" i="7"/>
  <c r="O31"/>
  <c r="F31"/>
  <c r="O39"/>
  <c r="F39"/>
  <c r="O33"/>
  <c r="F33"/>
  <c r="O26"/>
  <c r="F26"/>
  <c r="O32"/>
  <c r="F32"/>
  <c r="P28"/>
  <c r="O30"/>
  <c r="P25"/>
  <c r="O28"/>
  <c r="P41"/>
  <c r="O27"/>
  <c r="O40"/>
  <c r="P39"/>
  <c r="P29"/>
  <c r="O34"/>
  <c r="F34"/>
  <c r="O38"/>
  <c r="F38"/>
  <c r="P38"/>
  <c r="P19"/>
  <c r="P37"/>
  <c r="P36"/>
  <c r="P35"/>
  <c r="P24"/>
  <c r="O29"/>
  <c r="F29"/>
  <c r="P27"/>
  <c r="O24"/>
  <c r="F24"/>
  <c r="P34"/>
  <c r="P33"/>
  <c r="O19"/>
  <c r="F19"/>
  <c r="P32"/>
  <c r="P31"/>
  <c r="P30"/>
  <c r="O41"/>
  <c r="F41"/>
  <c r="P16"/>
  <c r="P18"/>
  <c r="P15"/>
  <c r="P17"/>
  <c r="O18"/>
  <c r="P20"/>
  <c r="O14"/>
  <c r="O16"/>
  <c r="F16"/>
  <c r="P13"/>
  <c r="O13"/>
  <c r="F13"/>
  <c r="O12"/>
  <c r="F12"/>
  <c r="O8"/>
  <c r="F8"/>
  <c r="P12"/>
  <c r="P11"/>
  <c r="O9"/>
  <c r="F9"/>
  <c r="P8"/>
  <c r="B48" i="6"/>
  <c r="O44"/>
  <c r="O25"/>
  <c r="P25"/>
  <c r="O42"/>
  <c r="O21"/>
  <c r="O33"/>
  <c r="P13"/>
  <c r="O37"/>
  <c r="O34"/>
  <c r="O23"/>
  <c r="P47"/>
  <c r="P23"/>
  <c r="O38"/>
  <c r="O32"/>
  <c r="O30"/>
  <c r="P43"/>
  <c r="P42"/>
  <c r="P41"/>
  <c r="P40"/>
  <c r="O24"/>
  <c r="O27"/>
  <c r="P39"/>
  <c r="P38"/>
  <c r="O43"/>
  <c r="P37"/>
  <c r="P36"/>
  <c r="P34"/>
  <c r="P26"/>
  <c r="O41"/>
  <c r="P33"/>
  <c r="P32"/>
  <c r="P31"/>
  <c r="P22"/>
  <c r="O26"/>
  <c r="P30"/>
  <c r="O47"/>
  <c r="P29"/>
  <c r="O35"/>
  <c r="P28"/>
  <c r="P27"/>
  <c r="R22"/>
  <c r="S22" s="1"/>
  <c r="O14"/>
  <c r="F14"/>
  <c r="P17"/>
  <c r="P19"/>
  <c r="O16"/>
  <c r="P15"/>
  <c r="O17"/>
  <c r="P14"/>
  <c r="O18"/>
  <c r="R18" s="1"/>
  <c r="O19"/>
  <c r="O13"/>
  <c r="P16"/>
  <c r="P21"/>
  <c r="P20"/>
  <c r="P12"/>
  <c r="P8"/>
  <c r="O8"/>
  <c r="F8"/>
  <c r="P11"/>
  <c r="O9"/>
  <c r="R9" s="1"/>
  <c r="F9"/>
  <c r="P6"/>
  <c r="O7"/>
  <c r="F7"/>
  <c r="P7"/>
  <c r="B41" i="4"/>
  <c r="N39"/>
  <c r="P39" s="1"/>
  <c r="F39"/>
  <c r="O38"/>
  <c r="N38"/>
  <c r="P38" s="1"/>
  <c r="Q38" s="1"/>
  <c r="F38"/>
  <c r="B33"/>
  <c r="N27"/>
  <c r="O27"/>
  <c r="O30"/>
  <c r="O31"/>
  <c r="N25"/>
  <c r="O25"/>
  <c r="O24"/>
  <c r="N10"/>
  <c r="F10"/>
  <c r="N23"/>
  <c r="F23"/>
  <c r="N20"/>
  <c r="P20" s="1"/>
  <c r="F20"/>
  <c r="N15"/>
  <c r="F15"/>
  <c r="O21"/>
  <c r="N19"/>
  <c r="N13"/>
  <c r="F13"/>
  <c r="O18"/>
  <c r="O16"/>
  <c r="O15"/>
  <c r="O14"/>
  <c r="O13"/>
  <c r="O10"/>
  <c r="O9"/>
  <c r="N9"/>
  <c r="F9"/>
  <c r="B37" i="3"/>
  <c r="N32"/>
  <c r="M27"/>
  <c r="F27"/>
  <c r="M33"/>
  <c r="F33"/>
  <c r="N33"/>
  <c r="O36"/>
  <c r="M24"/>
  <c r="F24"/>
  <c r="M25"/>
  <c r="F25"/>
  <c r="N30"/>
  <c r="N27"/>
  <c r="N26"/>
  <c r="N25"/>
  <c r="M30"/>
  <c r="N24"/>
  <c r="N22"/>
  <c r="B15"/>
  <c r="M13"/>
  <c r="F13"/>
  <c r="N13"/>
  <c r="M9"/>
  <c r="O9" s="1"/>
  <c r="F9"/>
  <c r="N8"/>
  <c r="N11"/>
  <c r="M11"/>
  <c r="F11"/>
  <c r="N9"/>
  <c r="M8"/>
  <c r="F8"/>
  <c r="N7"/>
  <c r="M7"/>
  <c r="B19" i="2"/>
  <c r="N18"/>
  <c r="O18"/>
  <c r="O17"/>
  <c r="N16"/>
  <c r="B10"/>
  <c r="O8"/>
  <c r="N8"/>
  <c r="P8" s="1"/>
  <c r="O7"/>
  <c r="N7"/>
  <c r="R12" i="12" l="1"/>
  <c r="R20"/>
  <c r="R23"/>
  <c r="Q17" i="14"/>
  <c r="Q11"/>
  <c r="N41" i="16"/>
  <c r="N40"/>
  <c r="M33"/>
  <c r="M32"/>
  <c r="P16" i="2"/>
  <c r="N49" i="16"/>
  <c r="N46"/>
  <c r="N48"/>
  <c r="N47"/>
  <c r="P22" i="4"/>
  <c r="P19"/>
  <c r="P23"/>
  <c r="J14" i="19"/>
  <c r="K14" s="1"/>
  <c r="N29" i="16"/>
  <c r="M15"/>
  <c r="J19" i="19"/>
  <c r="J11"/>
  <c r="J12"/>
  <c r="J8"/>
  <c r="K8" s="1"/>
  <c r="J9"/>
  <c r="J20"/>
  <c r="R20" i="11"/>
  <c r="S20" s="1"/>
  <c r="O25" i="10"/>
  <c r="R26" i="7"/>
  <c r="R12"/>
  <c r="R13" i="6"/>
  <c r="S13" s="1"/>
  <c r="R45"/>
  <c r="R44"/>
  <c r="R24"/>
  <c r="R23" i="11"/>
  <c r="R32"/>
  <c r="R28"/>
  <c r="R51"/>
  <c r="R57" i="12"/>
  <c r="R16"/>
  <c r="R38" i="11"/>
  <c r="O19" i="9"/>
  <c r="M11" i="16"/>
  <c r="R24" i="11"/>
  <c r="S24" s="1"/>
  <c r="R16"/>
  <c r="R48"/>
  <c r="P40" i="4"/>
  <c r="Q40" s="1"/>
  <c r="R9" i="2"/>
  <c r="P25" i="4"/>
  <c r="Q25" s="1"/>
  <c r="P28"/>
  <c r="R21" i="6"/>
  <c r="T13" i="7"/>
  <c r="O19" i="10"/>
  <c r="O31"/>
  <c r="P31" s="1"/>
  <c r="O32"/>
  <c r="P32" s="1"/>
  <c r="O21"/>
  <c r="P21" s="1"/>
  <c r="R8"/>
  <c r="O16"/>
  <c r="R15"/>
  <c r="O27"/>
  <c r="P27" s="1"/>
  <c r="O23"/>
  <c r="P23" s="1"/>
  <c r="R33" i="11"/>
  <c r="S33" s="1"/>
  <c r="R46"/>
  <c r="S46" s="1"/>
  <c r="R34"/>
  <c r="R39"/>
  <c r="R37"/>
  <c r="R44"/>
  <c r="S44" s="1"/>
  <c r="R50"/>
  <c r="N40" i="14"/>
  <c r="R22" i="11"/>
  <c r="R35"/>
  <c r="R27"/>
  <c r="S27" s="1"/>
  <c r="R29"/>
  <c r="S29" s="1"/>
  <c r="R18"/>
  <c r="R17"/>
  <c r="Q15" i="14"/>
  <c r="Q14"/>
  <c r="R14" s="1"/>
  <c r="Q16"/>
  <c r="S12"/>
  <c r="Q51"/>
  <c r="T45" i="11"/>
  <c r="R33" i="12"/>
  <c r="Q38" i="14"/>
  <c r="R41" i="11"/>
  <c r="R49"/>
  <c r="R42"/>
  <c r="S42" s="1"/>
  <c r="R47"/>
  <c r="S47" s="1"/>
  <c r="R36"/>
  <c r="T8"/>
  <c r="Q9" i="3"/>
  <c r="S13" i="14"/>
  <c r="Q34"/>
  <c r="T26" i="11"/>
  <c r="R10" i="13"/>
  <c r="M18" i="16"/>
  <c r="N39" i="18"/>
  <c r="N26"/>
  <c r="N28"/>
  <c r="N46"/>
  <c r="N36"/>
  <c r="N38"/>
  <c r="N45"/>
  <c r="T8" i="7"/>
  <c r="R25" i="6"/>
  <c r="S25" s="1"/>
  <c r="R14"/>
  <c r="R8"/>
  <c r="P27" i="4"/>
  <c r="O32" i="3"/>
  <c r="P32" s="1"/>
  <c r="O24"/>
  <c r="O8"/>
  <c r="O13"/>
  <c r="P13" s="1"/>
  <c r="O26"/>
  <c r="P26" s="1"/>
  <c r="O27"/>
  <c r="R18" i="2"/>
  <c r="T12" i="11"/>
  <c r="O12" i="10"/>
  <c r="S8" i="14"/>
  <c r="R18" i="12"/>
  <c r="I32" i="17"/>
  <c r="I33"/>
  <c r="I23"/>
  <c r="J23" s="1"/>
  <c r="P7" i="2"/>
  <c r="R30" i="4"/>
  <c r="R24"/>
  <c r="R18"/>
  <c r="R14"/>
  <c r="R15"/>
  <c r="R13"/>
  <c r="P16"/>
  <c r="R12" i="6"/>
  <c r="S12" s="1"/>
  <c r="R17"/>
  <c r="S17" s="1"/>
  <c r="R19"/>
  <c r="R35"/>
  <c r="R20" i="7"/>
  <c r="R19"/>
  <c r="O31" i="9"/>
  <c r="O35"/>
  <c r="O36"/>
  <c r="O23"/>
  <c r="O16"/>
  <c r="R17" i="10"/>
  <c r="R14"/>
  <c r="O13"/>
  <c r="P13" s="1"/>
  <c r="R18"/>
  <c r="R20"/>
  <c r="O26"/>
  <c r="P26" s="1"/>
  <c r="O29"/>
  <c r="P29" s="1"/>
  <c r="R28"/>
  <c r="R24"/>
  <c r="M11" i="15"/>
  <c r="N11" s="1"/>
  <c r="O33" i="3"/>
  <c r="O25"/>
  <c r="Q30"/>
  <c r="Q22"/>
  <c r="Q7"/>
  <c r="R51" i="12"/>
  <c r="R25"/>
  <c r="R40"/>
  <c r="R49"/>
  <c r="R47"/>
  <c r="S47" s="1"/>
  <c r="R21"/>
  <c r="R43"/>
  <c r="T39"/>
  <c r="T45"/>
  <c r="R55"/>
  <c r="R29"/>
  <c r="R52"/>
  <c r="T54"/>
  <c r="T34"/>
  <c r="R41"/>
  <c r="R50"/>
  <c r="R26"/>
  <c r="R56"/>
  <c r="R30"/>
  <c r="R32"/>
  <c r="R35"/>
  <c r="R38"/>
  <c r="T42"/>
  <c r="R36"/>
  <c r="S36" s="1"/>
  <c r="R27"/>
  <c r="T31"/>
  <c r="R11"/>
  <c r="S11" s="1"/>
  <c r="R28"/>
  <c r="R17"/>
  <c r="R14"/>
  <c r="S14" s="1"/>
  <c r="T10"/>
  <c r="R15"/>
  <c r="R24"/>
  <c r="S24" s="1"/>
  <c r="R19"/>
  <c r="T13"/>
  <c r="M25" i="15"/>
  <c r="I35" i="17"/>
  <c r="I28"/>
  <c r="J22"/>
  <c r="I27"/>
  <c r="N44" i="18"/>
  <c r="N43"/>
  <c r="N42"/>
  <c r="M12" i="15"/>
  <c r="M18"/>
  <c r="M26"/>
  <c r="M14"/>
  <c r="M17"/>
  <c r="M13"/>
  <c r="N13" s="1"/>
  <c r="M9"/>
  <c r="N9" s="1"/>
  <c r="M38"/>
  <c r="N38" s="1"/>
  <c r="M36"/>
  <c r="M27"/>
  <c r="J15" i="19"/>
  <c r="J13"/>
  <c r="J17"/>
  <c r="J16"/>
  <c r="J18"/>
  <c r="J7"/>
  <c r="M31" i="16"/>
  <c r="M9"/>
  <c r="M28"/>
  <c r="N28" s="1"/>
  <c r="M20"/>
  <c r="N20" s="1"/>
  <c r="M19"/>
  <c r="M13"/>
  <c r="M10"/>
  <c r="M16"/>
  <c r="N16" s="1"/>
  <c r="M14"/>
  <c r="M8"/>
  <c r="M7"/>
  <c r="N7" s="1"/>
  <c r="N40" i="18"/>
  <c r="N41"/>
  <c r="N37"/>
  <c r="R8" i="9"/>
  <c r="T44" i="12"/>
  <c r="T21" i="11"/>
  <c r="M8" i="15"/>
  <c r="M10"/>
  <c r="T8" i="12"/>
  <c r="T46"/>
  <c r="T11" i="7"/>
  <c r="T48" i="12"/>
  <c r="T10" i="11"/>
  <c r="M28" i="15"/>
  <c r="P14" i="4"/>
  <c r="Q11" i="3"/>
  <c r="R40" i="4"/>
  <c r="R31"/>
  <c r="P24"/>
  <c r="Q24" s="1"/>
  <c r="P31"/>
  <c r="Q31" s="1"/>
  <c r="R9" i="10"/>
  <c r="R30"/>
  <c r="O20"/>
  <c r="P20" s="1"/>
  <c r="O28"/>
  <c r="P28" s="1"/>
  <c r="O18"/>
  <c r="R12" i="9"/>
  <c r="O15"/>
  <c r="P15" s="1"/>
  <c r="O13"/>
  <c r="P13" s="1"/>
  <c r="R27"/>
  <c r="O32"/>
  <c r="O22"/>
  <c r="P22" s="1"/>
  <c r="R15" i="7"/>
  <c r="S15" s="1"/>
  <c r="R18"/>
  <c r="R11"/>
  <c r="S11" s="1"/>
  <c r="T27"/>
  <c r="R36"/>
  <c r="S36" s="1"/>
  <c r="R37"/>
  <c r="R25"/>
  <c r="S25" s="1"/>
  <c r="R30"/>
  <c r="T35"/>
  <c r="R21" i="4"/>
  <c r="P21"/>
  <c r="Q21" s="1"/>
  <c r="R6" i="6"/>
  <c r="T16"/>
  <c r="T23"/>
  <c r="T26"/>
  <c r="R27"/>
  <c r="S27" s="1"/>
  <c r="R29"/>
  <c r="R36"/>
  <c r="R38"/>
  <c r="R41"/>
  <c r="S41" s="1"/>
  <c r="T43"/>
  <c r="R17" i="13"/>
  <c r="R10" i="12"/>
  <c r="S10" s="1"/>
  <c r="T36"/>
  <c r="R13"/>
  <c r="S13" s="1"/>
  <c r="T37"/>
  <c r="T40" i="11"/>
  <c r="T43"/>
  <c r="O30" i="10"/>
  <c r="P30" s="1"/>
  <c r="R16" i="7"/>
  <c r="T17"/>
  <c r="T31"/>
  <c r="R34"/>
  <c r="R39"/>
  <c r="R28"/>
  <c r="S28" s="1"/>
  <c r="R32"/>
  <c r="S32" s="1"/>
  <c r="R38"/>
  <c r="T24"/>
  <c r="R29"/>
  <c r="T33"/>
  <c r="R41"/>
  <c r="O30" i="9"/>
  <c r="R26"/>
  <c r="R25"/>
  <c r="O29"/>
  <c r="O34"/>
  <c r="O26"/>
  <c r="P26" s="1"/>
  <c r="O28"/>
  <c r="O33"/>
  <c r="O9"/>
  <c r="O12"/>
  <c r="P12" s="1"/>
  <c r="R14"/>
  <c r="O18"/>
  <c r="O14"/>
  <c r="P14" s="1"/>
  <c r="O20"/>
  <c r="R17"/>
  <c r="R33" i="6"/>
  <c r="R31"/>
  <c r="R28"/>
  <c r="R30"/>
  <c r="R32"/>
  <c r="R34"/>
  <c r="R37"/>
  <c r="R39"/>
  <c r="T40"/>
  <c r="T42"/>
  <c r="T47"/>
  <c r="R15"/>
  <c r="R20"/>
  <c r="R11"/>
  <c r="S11" s="1"/>
  <c r="T8"/>
  <c r="O14" i="10"/>
  <c r="P14" s="1"/>
  <c r="O15"/>
  <c r="P15" s="1"/>
  <c r="O24"/>
  <c r="P24" s="1"/>
  <c r="R16" i="6"/>
  <c r="S16" s="1"/>
  <c r="R26" i="11"/>
  <c r="S26" s="1"/>
  <c r="R21"/>
  <c r="S21" s="1"/>
  <c r="R40"/>
  <c r="S40" s="1"/>
  <c r="R43"/>
  <c r="S43" s="1"/>
  <c r="R45"/>
  <c r="S45" s="1"/>
  <c r="N23" i="18"/>
  <c r="O27" i="9"/>
  <c r="P27" s="1"/>
  <c r="R43" i="6"/>
  <c r="S43" s="1"/>
  <c r="P15" i="4"/>
  <c r="Q13" i="14"/>
  <c r="R13" s="1"/>
  <c r="N38"/>
  <c r="O38" s="1"/>
  <c r="R46" i="12"/>
  <c r="S46" s="1"/>
  <c r="R31"/>
  <c r="S31" s="1"/>
  <c r="R54"/>
  <c r="R34"/>
  <c r="S34" s="1"/>
  <c r="R42"/>
  <c r="S42" s="1"/>
  <c r="R48"/>
  <c r="S48" s="1"/>
  <c r="R37"/>
  <c r="S37" s="1"/>
  <c r="R13" i="7"/>
  <c r="S13" s="1"/>
  <c r="R24"/>
  <c r="S24" s="1"/>
  <c r="R27"/>
  <c r="S27" s="1"/>
  <c r="R31"/>
  <c r="S31" s="1"/>
  <c r="R33"/>
  <c r="S33" s="1"/>
  <c r="R35"/>
  <c r="S35" s="1"/>
  <c r="R47" i="6"/>
  <c r="S47" s="1"/>
  <c r="R26"/>
  <c r="S26" s="1"/>
  <c r="R40"/>
  <c r="S40" s="1"/>
  <c r="O22" i="3"/>
  <c r="P22" s="1"/>
  <c r="O11"/>
  <c r="P11" s="1"/>
  <c r="O30"/>
  <c r="P30" s="1"/>
  <c r="P18" i="2"/>
  <c r="Q18" s="1"/>
  <c r="Q39" i="14"/>
  <c r="Q36"/>
  <c r="S14"/>
  <c r="Q12"/>
  <c r="R12" s="1"/>
  <c r="T47" i="12"/>
  <c r="T11"/>
  <c r="T14"/>
  <c r="T24"/>
  <c r="R39"/>
  <c r="S39" s="1"/>
  <c r="R44"/>
  <c r="S44" s="1"/>
  <c r="R45"/>
  <c r="S45" s="1"/>
  <c r="T24" i="11"/>
  <c r="T27"/>
  <c r="T20"/>
  <c r="T28"/>
  <c r="T33"/>
  <c r="T42"/>
  <c r="T44"/>
  <c r="T46"/>
  <c r="T47"/>
  <c r="R26" i="10"/>
  <c r="R29"/>
  <c r="R31"/>
  <c r="R32"/>
  <c r="R21"/>
  <c r="R13"/>
  <c r="O17"/>
  <c r="R23"/>
  <c r="R27"/>
  <c r="R22" i="9"/>
  <c r="O25"/>
  <c r="P25" s="1"/>
  <c r="O17"/>
  <c r="P17" s="1"/>
  <c r="R13"/>
  <c r="R15"/>
  <c r="T15" i="7"/>
  <c r="T25"/>
  <c r="T28"/>
  <c r="R17"/>
  <c r="S17" s="1"/>
  <c r="T32"/>
  <c r="T36"/>
  <c r="T12" i="6"/>
  <c r="T13"/>
  <c r="T25"/>
  <c r="T11"/>
  <c r="T17"/>
  <c r="T27"/>
  <c r="T41"/>
  <c r="R23"/>
  <c r="S23" s="1"/>
  <c r="R42"/>
  <c r="S42" s="1"/>
  <c r="T22"/>
  <c r="R38" i="4"/>
  <c r="R25"/>
  <c r="R16"/>
  <c r="P18"/>
  <c r="Q18" s="1"/>
  <c r="P30"/>
  <c r="Q30" s="1"/>
  <c r="Q26" i="3"/>
  <c r="P9" i="2"/>
  <c r="Q9" s="1"/>
  <c r="R17"/>
  <c r="M7" i="18"/>
  <c r="M9"/>
  <c r="M10"/>
  <c r="M8"/>
  <c r="N8" i="15" l="1"/>
  <c r="N10"/>
  <c r="O10" s="1"/>
  <c r="N18"/>
  <c r="N16"/>
  <c r="N12"/>
  <c r="O12" s="1"/>
  <c r="N14"/>
  <c r="N17"/>
</calcChain>
</file>

<file path=xl/sharedStrings.xml><?xml version="1.0" encoding="utf-8"?>
<sst xmlns="http://schemas.openxmlformats.org/spreadsheetml/2006/main" count="2280" uniqueCount="283">
  <si>
    <t>SSA</t>
  </si>
  <si>
    <t>Carry Gun</t>
  </si>
  <si>
    <t>GNPA</t>
  </si>
  <si>
    <t>M</t>
  </si>
  <si>
    <t>G</t>
  </si>
  <si>
    <t>B</t>
  </si>
  <si>
    <t>S</t>
  </si>
  <si>
    <t>SANDF</t>
  </si>
  <si>
    <t>WPPA</t>
  </si>
  <si>
    <t>SAPS</t>
  </si>
  <si>
    <t>O</t>
  </si>
  <si>
    <t>WCPF</t>
  </si>
  <si>
    <t>KZNPA</t>
  </si>
  <si>
    <t>WCPA</t>
  </si>
  <si>
    <t>CGPA</t>
  </si>
  <si>
    <t>HM</t>
  </si>
  <si>
    <t>NPA EVENT RESULTS</t>
  </si>
  <si>
    <t>1500 Revolver</t>
  </si>
  <si>
    <t>SAPA No</t>
  </si>
  <si>
    <t>Name</t>
  </si>
  <si>
    <t>Prov.</t>
  </si>
  <si>
    <t>Graded</t>
  </si>
  <si>
    <t>X</t>
  </si>
  <si>
    <t>Total</t>
  </si>
  <si>
    <t>HIT</t>
  </si>
  <si>
    <t>Upgraded</t>
  </si>
  <si>
    <t>New Grading</t>
  </si>
  <si>
    <t>WARNING!</t>
  </si>
  <si>
    <t>WAR</t>
  </si>
  <si>
    <t xml:space="preserve">Shafaath Gilbert </t>
  </si>
  <si>
    <t xml:space="preserve">Reshlan Nagoor </t>
  </si>
  <si>
    <t>Rashid Barnes</t>
  </si>
  <si>
    <t>GRADINGS</t>
  </si>
  <si>
    <t>BRONZE &lt;1290, SILVER &lt;1380, GOLD&lt;1440, MASTER &lt;1476, HI-MASTER OVER 1475</t>
  </si>
  <si>
    <t>WA 1500 Pistol</t>
  </si>
  <si>
    <t>WAP</t>
  </si>
  <si>
    <t xml:space="preserve">Elsje Swart </t>
  </si>
  <si>
    <t>Dave Biggs</t>
  </si>
  <si>
    <t>600 MATCH - REVOLVER</t>
  </si>
  <si>
    <t>Hits</t>
  </si>
  <si>
    <t>600R</t>
  </si>
  <si>
    <t xml:space="preserve"> M </t>
  </si>
  <si>
    <t>Robert King</t>
  </si>
  <si>
    <t xml:space="preserve">Peter J Smith </t>
  </si>
  <si>
    <t>Stewart Palmer</t>
  </si>
  <si>
    <t>Charles Watts</t>
  </si>
  <si>
    <t>Rene Reagon</t>
  </si>
  <si>
    <t>Nabeel Francis</t>
  </si>
  <si>
    <t>Ebrahim Allie</t>
  </si>
  <si>
    <t>BRONZE&lt;510, SILVER &lt;550,  GOLD&lt;575,  MASTER &lt;590, HI-MASTER OVER 589</t>
  </si>
  <si>
    <t>600 MATCH - PISTOL</t>
  </si>
  <si>
    <t>600p</t>
  </si>
  <si>
    <t>DF van Tonder</t>
  </si>
  <si>
    <t>CPC Smit</t>
  </si>
  <si>
    <t>Collin Strecker</t>
  </si>
  <si>
    <t>SM Mpuru</t>
  </si>
  <si>
    <t>Franco Swart</t>
  </si>
  <si>
    <t>Stock Semi Auto (Standard Gun)</t>
  </si>
  <si>
    <t>TP Van Der Merwe</t>
  </si>
  <si>
    <t xml:space="preserve">Veene Janse van Rensburg </t>
  </si>
  <si>
    <t>SGSSA</t>
  </si>
  <si>
    <t>Elsje Swart</t>
  </si>
  <si>
    <t>V Nobela</t>
  </si>
  <si>
    <t>Moegamat Johnson</t>
  </si>
  <si>
    <t>BRONZE &lt;413, SILVER &lt;442, GOLD&lt;461, MASTER &lt;472, HI-MASTER OVER 471</t>
  </si>
  <si>
    <t>Standard (Service) Revolver</t>
  </si>
  <si>
    <t>SSR</t>
  </si>
  <si>
    <t>Police Pistol A</t>
  </si>
  <si>
    <t>Ppa</t>
  </si>
  <si>
    <t xml:space="preserve">WG Venter </t>
  </si>
  <si>
    <t>SP Spies</t>
  </si>
  <si>
    <t>Heinrich Mommsen</t>
  </si>
  <si>
    <t>Teeps van der Merwe</t>
  </si>
  <si>
    <t>FS Kruger</t>
  </si>
  <si>
    <t>Jeroen van Zanten</t>
  </si>
  <si>
    <t>Evril Graham</t>
  </si>
  <si>
    <t>Waleed Dawood</t>
  </si>
  <si>
    <t>Keith Evans</t>
  </si>
  <si>
    <t>JJ Markgraaff</t>
  </si>
  <si>
    <t>A Kotze</t>
  </si>
  <si>
    <t>Freddy Moreki</t>
  </si>
  <si>
    <t>Slade Evans</t>
  </si>
  <si>
    <t>Peter J Smith</t>
  </si>
  <si>
    <t>Carine Potgieter</t>
  </si>
  <si>
    <t>Tara Evans</t>
  </si>
  <si>
    <t>GRADINGS:</t>
  </si>
  <si>
    <t>BRONZE &lt;280, SILVER &lt;290, GOLD&lt;294, MASTER &lt;297, HI-MASTER OVER 296</t>
  </si>
  <si>
    <t>Police Pistol B</t>
  </si>
  <si>
    <t>PPb</t>
  </si>
  <si>
    <t>Anthony Grobler</t>
  </si>
  <si>
    <t>Police Pistol OPTICAL</t>
  </si>
  <si>
    <t>PPop</t>
  </si>
  <si>
    <t>Service Pistol OPTICAL</t>
  </si>
  <si>
    <t>HITS</t>
  </si>
  <si>
    <t>SPop</t>
  </si>
  <si>
    <t xml:space="preserve">Dave Steyn </t>
  </si>
  <si>
    <t>BRONZE &lt;85,  SILVER &lt;103, GOLD&lt;110, MASTER &lt;115, HI-MASTER OVER 114</t>
  </si>
  <si>
    <t>Service Pistol A</t>
  </si>
  <si>
    <t>SPa</t>
  </si>
  <si>
    <t>Carel Smit</t>
  </si>
  <si>
    <t>Service Pistol B</t>
  </si>
  <si>
    <t>SPb</t>
  </si>
  <si>
    <t>WG Venter</t>
  </si>
  <si>
    <t xml:space="preserve">TP Van Der Merwe </t>
  </si>
  <si>
    <t>Pocket Pistol</t>
  </si>
  <si>
    <t>Poc</t>
  </si>
  <si>
    <t>BRONZE &lt;271, SILVER &lt;285, GOLD&lt;295, MASTER &lt;298, HI-MASTER OVER 297</t>
  </si>
  <si>
    <t xml:space="preserve"> </t>
  </si>
  <si>
    <t>CG</t>
  </si>
  <si>
    <t>H Koen</t>
  </si>
  <si>
    <t>SUPER MAGNUM</t>
  </si>
  <si>
    <t>Mag</t>
  </si>
  <si>
    <t xml:space="preserve">S </t>
  </si>
  <si>
    <t>Police Rifle - Centrefire</t>
  </si>
  <si>
    <t>PRcf</t>
  </si>
  <si>
    <t xml:space="preserve">Tara Evans </t>
  </si>
  <si>
    <t>Christo van der Merwe</t>
  </si>
  <si>
    <t>Police Rifle - .22</t>
  </si>
  <si>
    <t>PR22</t>
  </si>
  <si>
    <t>Service Rifle - Centerfire</t>
  </si>
  <si>
    <t>SRcf</t>
  </si>
  <si>
    <t>Service Rifle .22</t>
  </si>
  <si>
    <t>SR22</t>
  </si>
  <si>
    <t>MENS SPORT PISTOL</t>
  </si>
  <si>
    <t>Grade</t>
  </si>
  <si>
    <t>T 1</t>
  </si>
  <si>
    <t>T 2</t>
  </si>
  <si>
    <t>T3</t>
  </si>
  <si>
    <t>SUB-TOTAL</t>
  </si>
  <si>
    <t>D1</t>
  </si>
  <si>
    <t>D2</t>
  </si>
  <si>
    <t>D3</t>
  </si>
  <si>
    <t>UPGRADE</t>
  </si>
  <si>
    <t>NEW GRADING</t>
  </si>
  <si>
    <t>N Arnesen</t>
  </si>
  <si>
    <t>EJ Potgieter</t>
  </si>
  <si>
    <t>C van der Merwe</t>
  </si>
  <si>
    <t>V Janse van Rensburg</t>
  </si>
  <si>
    <t>BRONZE up to 509,   SILVER &lt; 530,  GOLD &lt;564, MASTER over 564</t>
  </si>
  <si>
    <t>EE Swart</t>
  </si>
  <si>
    <t xml:space="preserve">V Jansen van Rensburg </t>
  </si>
  <si>
    <t>T 3</t>
  </si>
  <si>
    <t>Neville Arnesen</t>
  </si>
  <si>
    <t>T 4</t>
  </si>
  <si>
    <t>T 5</t>
  </si>
  <si>
    <t>T 6</t>
  </si>
  <si>
    <t>EP Bouwer</t>
  </si>
  <si>
    <t>Ross Allan Wyngaard</t>
  </si>
  <si>
    <t>BRONZE &lt;499,   SILVER &lt; 530,  GOLD &lt;560, MASTER over 560</t>
  </si>
  <si>
    <t xml:space="preserve"> AIR  PISTOL  -  JUNIOR  OPEN</t>
  </si>
  <si>
    <t>Cat.</t>
  </si>
  <si>
    <t>U-21</t>
  </si>
  <si>
    <t>Chivine J van Rensburg</t>
  </si>
  <si>
    <t>U-16</t>
  </si>
  <si>
    <t>BRONZE &lt;489,   SILVER &lt; 510,  GOLD &lt;530, MASTER over 530</t>
  </si>
  <si>
    <t xml:space="preserve">GRADINGS: </t>
  </si>
  <si>
    <t>T1</t>
  </si>
  <si>
    <t>T2</t>
  </si>
  <si>
    <t>New GRADING</t>
  </si>
  <si>
    <t>Evert Potgieter</t>
  </si>
  <si>
    <t>Wiekus Venter</t>
  </si>
  <si>
    <t>Bronze up to 239, SILVER &lt;260, Gold&lt;279, MASTER over 279</t>
  </si>
  <si>
    <t>T-8</t>
  </si>
  <si>
    <t>T-6</t>
  </si>
  <si>
    <t>T-4</t>
  </si>
  <si>
    <t>Sub-Total</t>
  </si>
  <si>
    <t>Course of Fire:</t>
  </si>
  <si>
    <t>20 Shots -                                     4 x 5 shots in 10 Secs</t>
  </si>
  <si>
    <t>20 Shots -                                      4 x 5 shots in 8 Secs</t>
  </si>
  <si>
    <t>20 Shots -                                      4 x 5 shots in 6 Secs</t>
  </si>
  <si>
    <t>5 sighters in 10 Secs</t>
  </si>
  <si>
    <t>10 Secs</t>
  </si>
  <si>
    <t>8   Secs</t>
  </si>
  <si>
    <t>6   Secs</t>
  </si>
  <si>
    <t>20 Shots -                                     4 x 5 shots in 12 Secs</t>
  </si>
  <si>
    <t>20 Shots -                                      4 x 5 shots in 10 Secs</t>
  </si>
  <si>
    <t>5 sighters in 12 Secs</t>
  </si>
  <si>
    <t>V J v Rensburg</t>
  </si>
  <si>
    <t>Colin Strecker</t>
  </si>
  <si>
    <t>T-150</t>
  </si>
  <si>
    <t>T-20</t>
  </si>
  <si>
    <t>T-10</t>
  </si>
  <si>
    <t>BRONZE  up to 489,   SILVER &lt; 520,  GOLD &lt;550, MASTER over 549</t>
  </si>
  <si>
    <t>PPC/ NPA EVENT RESULTS</t>
  </si>
  <si>
    <t>PPC / NPA EVENT RESULTS</t>
  </si>
  <si>
    <t>SAPF No</t>
  </si>
  <si>
    <t>AIR  PISTOL  - MEN</t>
  </si>
  <si>
    <t>AIR  PISTOL  - LADIES</t>
  </si>
  <si>
    <t>CENTREFIRE</t>
  </si>
  <si>
    <t>LADIES SPORT PISTOL</t>
  </si>
  <si>
    <t>L Roos</t>
  </si>
  <si>
    <t>Veene Janse van Rensburg</t>
  </si>
  <si>
    <t>Andrew Nixon  (14)</t>
  </si>
  <si>
    <t xml:space="preserve">G </t>
  </si>
  <si>
    <t>K Matthews</t>
  </si>
  <si>
    <t>Jonathan Ridgard   (14)</t>
  </si>
  <si>
    <t>R King</t>
  </si>
  <si>
    <t>EJR Graham</t>
  </si>
  <si>
    <t>CE Crous</t>
  </si>
  <si>
    <t>DF Van Tonder</t>
  </si>
  <si>
    <t>FC Gates</t>
  </si>
  <si>
    <t>D Biggs</t>
  </si>
  <si>
    <t>DV Steyn</t>
  </si>
  <si>
    <t>Rika Swart</t>
  </si>
  <si>
    <t>Christo Crous</t>
  </si>
  <si>
    <t>AW Grobler</t>
  </si>
  <si>
    <t>C Crous</t>
  </si>
  <si>
    <t>S Myers</t>
  </si>
  <si>
    <t>S Gilbert</t>
  </si>
  <si>
    <t>600P</t>
  </si>
  <si>
    <t>SAPS OPEN CHAMPIONSHIPS - SANDF EEUFEES RANGE - 7 to 9 SEPTEMBER, 2023</t>
  </si>
  <si>
    <t>C Janse van Rensburg</t>
  </si>
  <si>
    <t>new</t>
  </si>
  <si>
    <t>R Swart</t>
  </si>
  <si>
    <t>F Swart</t>
  </si>
  <si>
    <t>CG Strecker</t>
  </si>
  <si>
    <t>D van Wyk</t>
  </si>
  <si>
    <t>C Strecker</t>
  </si>
  <si>
    <t>A Omar</t>
  </si>
  <si>
    <t>H Mommsen</t>
  </si>
  <si>
    <t>KR Sander</t>
  </si>
  <si>
    <t>C J van Rensburg</t>
  </si>
  <si>
    <t>V J van Rensburg</t>
  </si>
  <si>
    <t>A Arendse</t>
  </si>
  <si>
    <t>R Lewis</t>
  </si>
  <si>
    <t>F Cheulkar</t>
  </si>
  <si>
    <t>J Taylor</t>
  </si>
  <si>
    <t>C Alexander</t>
  </si>
  <si>
    <t>K Schutte</t>
  </si>
  <si>
    <t>G van Schaik</t>
  </si>
  <si>
    <t>B Lourens</t>
  </si>
  <si>
    <t>M Johnson</t>
  </si>
  <si>
    <t>Z Courie</t>
  </si>
  <si>
    <t>R Barnes</t>
  </si>
  <si>
    <t>R Reagon</t>
  </si>
  <si>
    <t>T Falal</t>
  </si>
  <si>
    <t>A Moosajee</t>
  </si>
  <si>
    <t>R Reagan</t>
  </si>
  <si>
    <t>A Alexander</t>
  </si>
  <si>
    <t>D Campbell</t>
  </si>
  <si>
    <t>N Drennen</t>
  </si>
  <si>
    <t>Sabela Blose</t>
  </si>
  <si>
    <t>Hayden Jennings</t>
  </si>
  <si>
    <t>Tahir Brijlal</t>
  </si>
  <si>
    <t>BP Gamede</t>
  </si>
  <si>
    <t>NH Arnesen</t>
  </si>
  <si>
    <t>R Nagoor</t>
  </si>
  <si>
    <t>J Rossouw</t>
  </si>
  <si>
    <t>J van Aarde</t>
  </si>
  <si>
    <t>FRL Moreki</t>
  </si>
  <si>
    <t>W Venter</t>
  </si>
  <si>
    <t>FJ van Aarde</t>
  </si>
  <si>
    <t>J Markgraaff</t>
  </si>
  <si>
    <t>Victor Nobela</t>
  </si>
  <si>
    <t>T Mashige</t>
  </si>
  <si>
    <t>F van Tonder</t>
  </si>
  <si>
    <t>J Van Aarde</t>
  </si>
  <si>
    <t>Sean Myers</t>
  </si>
  <si>
    <t>PR23</t>
  </si>
  <si>
    <t>AT Dreyer</t>
  </si>
  <si>
    <t>B Porter</t>
  </si>
  <si>
    <t>TP van der Merwe</t>
  </si>
  <si>
    <t>Charlie Watts</t>
  </si>
  <si>
    <t>PJ Smith</t>
  </si>
  <si>
    <t>SR23</t>
  </si>
  <si>
    <t>NO</t>
  </si>
  <si>
    <t>FINAL RESULTS :    50 Meter FREE  PISTOL</t>
  </si>
  <si>
    <t>FINAL RESULTS:  50 YARDS</t>
  </si>
  <si>
    <t>M Kajee</t>
  </si>
  <si>
    <t>M Fredericks</t>
  </si>
  <si>
    <t>A Govind</t>
  </si>
  <si>
    <t>Jaden  Mulena</t>
  </si>
  <si>
    <t>25Meter Air PISTOL Sport</t>
  </si>
  <si>
    <t>DQ</t>
  </si>
  <si>
    <t>FINAL RESULT: STANDARD PISTOL</t>
  </si>
  <si>
    <t>Brian Porter</t>
  </si>
  <si>
    <t>Tyler Morrison</t>
  </si>
  <si>
    <t>Bradley Anderson</t>
  </si>
  <si>
    <t>Ken Nixon</t>
  </si>
  <si>
    <t>FINAL RESULT: RAPID FIRE PISTOL - .22 LONG</t>
  </si>
  <si>
    <t>FINAL RESULT: Military Rapid Fire .22</t>
  </si>
  <si>
    <t>FINAL RESULT: Military Rapid Fire 9mm</t>
  </si>
  <si>
    <t>Yes</t>
  </si>
</sst>
</file>

<file path=xl/styles.xml><?xml version="1.0" encoding="utf-8"?>
<styleSheet xmlns="http://schemas.openxmlformats.org/spreadsheetml/2006/main">
  <numFmts count="1">
    <numFmt numFmtId="164" formatCode="0.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FF0000"/>
      <name val="Arial Narrow"/>
      <family val="2"/>
    </font>
    <font>
      <b/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6"/>
      <color rgb="FF0000FF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0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name val="Arial Narrow"/>
      <family val="2"/>
    </font>
    <font>
      <b/>
      <i/>
      <sz val="12"/>
      <color rgb="FF0000FF"/>
      <name val="Arial Narrow"/>
      <family val="2"/>
    </font>
    <font>
      <b/>
      <i/>
      <sz val="11"/>
      <color rgb="FF0000FF"/>
      <name val="Arial Narrow"/>
      <family val="2"/>
    </font>
    <font>
      <sz val="12"/>
      <color rgb="FF3333CC"/>
      <name val="Arial Narrow"/>
      <family val="2"/>
    </font>
    <font>
      <b/>
      <sz val="12"/>
      <color rgb="FF0000FF"/>
      <name val="Arial Narrow"/>
      <family val="2"/>
    </font>
    <font>
      <b/>
      <sz val="18"/>
      <color rgb="FF0000FF"/>
      <name val="Arial Narrow"/>
      <family val="2"/>
    </font>
    <font>
      <b/>
      <sz val="14"/>
      <color rgb="FF0000FF"/>
      <name val="Arial Narrow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rgb="FF0000FF"/>
      <name val="Calibri"/>
      <family val="2"/>
      <scheme val="minor"/>
    </font>
    <font>
      <b/>
      <sz val="12"/>
      <name val="Arial Narrow"/>
      <family val="2"/>
    </font>
    <font>
      <b/>
      <sz val="16"/>
      <color rgb="FF0000FF"/>
      <name val="Calibri"/>
      <family val="2"/>
      <scheme val="minor"/>
    </font>
    <font>
      <b/>
      <sz val="10"/>
      <name val="Arial Narrow"/>
      <family val="2"/>
    </font>
    <font>
      <b/>
      <sz val="14"/>
      <name val="Arial Narrow"/>
      <family val="2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sz val="16"/>
      <color rgb="FF800000"/>
      <name val="Arial Narrow"/>
      <family val="2"/>
    </font>
    <font>
      <b/>
      <sz val="10"/>
      <color rgb="FF800000"/>
      <name val="Arial Narrow"/>
      <family val="2"/>
    </font>
    <font>
      <b/>
      <sz val="10"/>
      <color rgb="FF0000FF"/>
      <name val="Arial Narrow"/>
      <family val="2"/>
    </font>
    <font>
      <b/>
      <sz val="18"/>
      <color rgb="FF0000FF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6" fillId="0" borderId="0" applyNumberFormat="0" applyFill="0" applyBorder="0" applyAlignment="0" applyProtection="0"/>
  </cellStyleXfs>
  <cellXfs count="1529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center" vertical="center"/>
    </xf>
    <xf numFmtId="1" fontId="25" fillId="0" borderId="23" xfId="0" applyNumberFormat="1" applyFont="1" applyBorder="1" applyAlignment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30" fillId="0" borderId="17" xfId="0" applyNumberFormat="1" applyFont="1" applyBorder="1" applyAlignment="1">
      <alignment horizontal="center" vertical="center"/>
    </xf>
    <xf numFmtId="1" fontId="29" fillId="0" borderId="17" xfId="0" applyNumberFormat="1" applyFont="1" applyFill="1" applyBorder="1" applyAlignment="1">
      <alignment horizontal="center" vertical="center"/>
    </xf>
    <xf numFmtId="1" fontId="26" fillId="0" borderId="18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64" fontId="26" fillId="0" borderId="13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1" fontId="3" fillId="0" borderId="59" xfId="0" applyNumberFormat="1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" fontId="30" fillId="0" borderId="60" xfId="0" applyNumberFormat="1" applyFont="1" applyBorder="1" applyAlignment="1">
      <alignment horizontal="center" vertical="center"/>
    </xf>
    <xf numFmtId="1" fontId="29" fillId="0" borderId="60" xfId="0" applyNumberFormat="1" applyFont="1" applyFill="1" applyBorder="1" applyAlignment="1">
      <alignment horizontal="center" vertical="center"/>
    </xf>
    <xf numFmtId="164" fontId="26" fillId="0" borderId="61" xfId="0" applyNumberFormat="1" applyFont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1" fontId="29" fillId="0" borderId="5" xfId="0" applyNumberFormat="1" applyFont="1" applyFill="1" applyBorder="1" applyAlignment="1">
      <alignment horizontal="center" vertical="center"/>
    </xf>
    <xf numFmtId="164" fontId="26" fillId="0" borderId="70" xfId="0" applyNumberFormat="1" applyFont="1" applyBorder="1" applyAlignment="1">
      <alignment horizontal="center" vertical="center"/>
    </xf>
    <xf numFmtId="1" fontId="3" fillId="0" borderId="41" xfId="0" applyNumberFormat="1" applyFont="1" applyFill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1" fontId="8" fillId="0" borderId="63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" fontId="3" fillId="6" borderId="47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5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" fontId="25" fillId="0" borderId="53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/>
    </xf>
    <xf numFmtId="1" fontId="29" fillId="0" borderId="29" xfId="0" applyNumberFormat="1" applyFont="1" applyFill="1" applyBorder="1" applyAlignment="1">
      <alignment horizontal="center" vertical="center"/>
    </xf>
    <xf numFmtId="164" fontId="26" fillId="0" borderId="37" xfId="0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9" fillId="0" borderId="36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" fontId="10" fillId="0" borderId="31" xfId="0" applyNumberFormat="1" applyFont="1" applyBorder="1" applyAlignment="1">
      <alignment horizontal="center" vertical="center"/>
    </xf>
    <xf numFmtId="1" fontId="11" fillId="0" borderId="53" xfId="0" applyNumberFormat="1" applyFont="1" applyFill="1" applyBorder="1" applyAlignment="1">
      <alignment horizontal="center" vertical="center"/>
    </xf>
    <xf numFmtId="164" fontId="11" fillId="0" borderId="23" xfId="0" applyNumberFormat="1" applyFont="1" applyBorder="1" applyAlignment="1">
      <alignment horizontal="center" vertical="center" wrapText="1"/>
    </xf>
    <xf numFmtId="1" fontId="15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Fill="1" applyBorder="1" applyAlignment="1">
      <alignment horizontal="center" vertical="center"/>
    </xf>
    <xf numFmtId="1" fontId="26" fillId="0" borderId="55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6" fillId="0" borderId="36" xfId="0" applyNumberFormat="1" applyFont="1" applyFill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6" fillId="0" borderId="39" xfId="0" applyNumberFormat="1" applyFont="1" applyFill="1" applyBorder="1" applyAlignment="1">
      <alignment horizontal="center" vertical="center"/>
    </xf>
    <xf numFmtId="1" fontId="26" fillId="0" borderId="58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24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64" fontId="26" fillId="0" borderId="29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4" fontId="26" fillId="0" borderId="36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0" fillId="0" borderId="68" xfId="0" applyNumberFormat="1" applyFill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" fontId="0" fillId="0" borderId="78" xfId="0" applyNumberFormat="1" applyFill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64" fontId="0" fillId="0" borderId="70" xfId="0" applyNumberForma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33" fillId="0" borderId="23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" fontId="0" fillId="0" borderId="12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1" fontId="0" fillId="0" borderId="45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6" fillId="0" borderId="71" xfId="0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26" fillId="0" borderId="36" xfId="0" applyNumberFormat="1" applyFont="1" applyBorder="1" applyAlignment="1">
      <alignment horizontal="center" vertical="center"/>
    </xf>
    <xf numFmtId="1" fontId="22" fillId="0" borderId="19" xfId="0" applyNumberFormat="1" applyFont="1" applyFill="1" applyBorder="1" applyAlignment="1">
      <alignment horizontal="center" vertical="center"/>
    </xf>
    <xf numFmtId="164" fontId="31" fillId="0" borderId="70" xfId="0" applyNumberFormat="1" applyFont="1" applyBorder="1" applyAlignment="1">
      <alignment horizontal="center" vertical="center"/>
    </xf>
    <xf numFmtId="1" fontId="26" fillId="0" borderId="39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63" xfId="0" applyNumberFormat="1" applyFont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1" fontId="0" fillId="0" borderId="32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15" fillId="0" borderId="33" xfId="0" applyNumberFormat="1" applyFont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9" fillId="0" borderId="31" xfId="0" applyNumberFormat="1" applyFont="1" applyFill="1" applyBorder="1" applyAlignment="1">
      <alignment horizontal="center" vertical="center"/>
    </xf>
    <xf numFmtId="164" fontId="34" fillId="0" borderId="23" xfId="0" applyNumberFormat="1" applyFont="1" applyBorder="1" applyAlignment="1">
      <alignment horizontal="center" vertical="center"/>
    </xf>
    <xf numFmtId="1" fontId="30" fillId="0" borderId="28" xfId="0" applyNumberFormat="1" applyFont="1" applyBorder="1" applyAlignment="1">
      <alignment horizontal="center" vertical="center"/>
    </xf>
    <xf numFmtId="164" fontId="26" fillId="0" borderId="55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1" fontId="30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76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1" fontId="29" fillId="0" borderId="39" xfId="0" applyNumberFormat="1" applyFont="1" applyFill="1" applyBorder="1" applyAlignment="1">
      <alignment horizontal="center" vertical="center"/>
    </xf>
    <xf numFmtId="164" fontId="26" fillId="0" borderId="5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" fontId="30" fillId="0" borderId="10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" fontId="3" fillId="3" borderId="14" xfId="0" applyNumberFormat="1" applyFont="1" applyFill="1" applyBorder="1" applyAlignment="1">
      <alignment horizontal="center" vertical="center"/>
    </xf>
    <xf numFmtId="164" fontId="26" fillId="3" borderId="37" xfId="0" applyNumberFormat="1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24" fillId="3" borderId="70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1" fontId="30" fillId="0" borderId="6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45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/>
    </xf>
    <xf numFmtId="1" fontId="35" fillId="0" borderId="5" xfId="0" applyNumberFormat="1" applyFont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" fontId="26" fillId="0" borderId="25" xfId="0" applyNumberFormat="1" applyFont="1" applyBorder="1" applyAlignment="1">
      <alignment horizontal="center" vertical="center"/>
    </xf>
    <xf numFmtId="1" fontId="26" fillId="0" borderId="26" xfId="0" applyNumberFormat="1" applyFont="1" applyBorder="1" applyAlignment="1">
      <alignment horizontal="center" vertical="center"/>
    </xf>
    <xf numFmtId="1" fontId="38" fillId="0" borderId="27" xfId="0" applyNumberFormat="1" applyFont="1" applyFill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9" fillId="0" borderId="55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70" xfId="0" applyNumberFormat="1" applyFont="1" applyFill="1" applyBorder="1" applyAlignment="1">
      <alignment horizontal="center" vertical="center"/>
    </xf>
    <xf numFmtId="1" fontId="25" fillId="0" borderId="33" xfId="0" applyNumberFormat="1" applyFont="1" applyBorder="1" applyAlignment="1">
      <alignment horizontal="center" vertical="center"/>
    </xf>
    <xf numFmtId="1" fontId="29" fillId="0" borderId="37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25" fillId="0" borderId="3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3" fillId="0" borderId="56" xfId="0" applyNumberFormat="1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" fontId="11" fillId="0" borderId="63" xfId="0" applyNumberFormat="1" applyFont="1" applyBorder="1" applyAlignment="1">
      <alignment horizontal="center" vertical="center"/>
    </xf>
    <xf numFmtId="1" fontId="6" fillId="0" borderId="63" xfId="0" applyNumberFormat="1" applyFont="1" applyBorder="1" applyAlignment="1">
      <alignment horizontal="center" vertical="center"/>
    </xf>
    <xf numFmtId="1" fontId="6" fillId="0" borderId="69" xfId="0" applyNumberFormat="1" applyFont="1" applyFill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9" fillId="0" borderId="62" xfId="0" applyNumberFormat="1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1" fontId="3" fillId="0" borderId="39" xfId="0" applyNumberFormat="1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" fontId="10" fillId="3" borderId="36" xfId="0" applyNumberFormat="1" applyFont="1" applyFill="1" applyBorder="1" applyAlignment="1">
      <alignment horizontal="center" vertical="center"/>
    </xf>
    <xf numFmtId="1" fontId="11" fillId="3" borderId="14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25" fillId="3" borderId="36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3" fillId="0" borderId="36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15" fillId="0" borderId="50" xfId="0" applyNumberFormat="1" applyFont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1" fontId="42" fillId="3" borderId="36" xfId="0" applyNumberFormat="1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16" fontId="45" fillId="0" borderId="36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1" fontId="47" fillId="0" borderId="36" xfId="0" applyNumberFormat="1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3" borderId="74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16" fontId="45" fillId="0" borderId="74" xfId="0" applyNumberFormat="1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1" fontId="47" fillId="0" borderId="29" xfId="0" applyNumberFormat="1" applyFont="1" applyFill="1" applyBorder="1" applyAlignment="1">
      <alignment horizontal="center" vertical="center"/>
    </xf>
    <xf numFmtId="1" fontId="42" fillId="3" borderId="33" xfId="0" applyNumberFormat="1" applyFont="1" applyFill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16" fontId="45" fillId="0" borderId="66" xfId="0" applyNumberFormat="1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1" fontId="47" fillId="0" borderId="33" xfId="0" applyNumberFormat="1" applyFont="1" applyFill="1" applyBorder="1" applyAlignment="1">
      <alignment horizontal="center" vertical="center"/>
    </xf>
    <xf numFmtId="0" fontId="43" fillId="3" borderId="14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/>
    </xf>
    <xf numFmtId="0" fontId="41" fillId="3" borderId="52" xfId="0" applyFont="1" applyFill="1" applyBorder="1" applyAlignment="1">
      <alignment horizontal="center" vertical="center"/>
    </xf>
    <xf numFmtId="1" fontId="42" fillId="3" borderId="39" xfId="0" applyNumberFormat="1" applyFont="1" applyFill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16" fontId="45" fillId="0" borderId="52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3" borderId="16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" fontId="47" fillId="0" borderId="39" xfId="0" applyNumberFormat="1" applyFont="1" applyFill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1" fontId="47" fillId="0" borderId="56" xfId="0" applyNumberFormat="1" applyFont="1" applyFill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/>
    </xf>
    <xf numFmtId="0" fontId="41" fillId="3" borderId="66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/>
    </xf>
    <xf numFmtId="0" fontId="47" fillId="3" borderId="34" xfId="0" applyFont="1" applyFill="1" applyBorder="1" applyAlignment="1">
      <alignment horizontal="center" vertical="center"/>
    </xf>
    <xf numFmtId="16" fontId="45" fillId="3" borderId="66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1" fontId="57" fillId="0" borderId="0" xfId="2" applyNumberFormat="1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16" fontId="45" fillId="0" borderId="1" xfId="0" applyNumberFormat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40" fillId="2" borderId="3" xfId="0" quotePrefix="1" applyFont="1" applyFill="1" applyBorder="1" applyAlignment="1">
      <alignment horizontal="center" vertical="center"/>
    </xf>
    <xf numFmtId="0" fontId="41" fillId="0" borderId="23" xfId="0" applyFont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16" fontId="45" fillId="0" borderId="73" xfId="0" applyNumberFormat="1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6" fontId="45" fillId="0" borderId="62" xfId="0" applyNumberFormat="1" applyFont="1" applyBorder="1" applyAlignment="1">
      <alignment horizontal="center" vertical="center"/>
    </xf>
    <xf numFmtId="0" fontId="53" fillId="0" borderId="70" xfId="0" applyFont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 vertical="center"/>
    </xf>
    <xf numFmtId="0" fontId="3" fillId="0" borderId="0" xfId="0" applyFont="1"/>
    <xf numFmtId="1" fontId="12" fillId="0" borderId="0" xfId="0" applyNumberFormat="1" applyFont="1"/>
    <xf numFmtId="1" fontId="0" fillId="0" borderId="0" xfId="0" applyNumberFormat="1"/>
    <xf numFmtId="0" fontId="27" fillId="0" borderId="0" xfId="0" applyFont="1"/>
    <xf numFmtId="0" fontId="41" fillId="0" borderId="3" xfId="0" applyFont="1" applyBorder="1" applyAlignment="1">
      <alignment horizontal="center" vertical="center" wrapText="1"/>
    </xf>
    <xf numFmtId="1" fontId="47" fillId="0" borderId="3" xfId="0" applyNumberFormat="1" applyFont="1" applyFill="1" applyBorder="1" applyAlignment="1">
      <alignment horizontal="center" vertical="center" wrapText="1"/>
    </xf>
    <xf numFmtId="0" fontId="41" fillId="0" borderId="80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1" fontId="23" fillId="0" borderId="43" xfId="0" applyNumberFormat="1" applyFont="1" applyBorder="1" applyAlignment="1">
      <alignment horizontal="center" vertical="center"/>
    </xf>
    <xf numFmtId="1" fontId="23" fillId="0" borderId="37" xfId="0" applyNumberFormat="1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53" fillId="0" borderId="69" xfId="0" applyFont="1" applyBorder="1" applyAlignment="1">
      <alignment horizontal="center" vertical="center"/>
    </xf>
    <xf numFmtId="1" fontId="23" fillId="0" borderId="55" xfId="0" applyNumberFormat="1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16" fontId="45" fillId="0" borderId="34" xfId="0" applyNumberFormat="1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42" fillId="3" borderId="29" xfId="0" applyFont="1" applyFill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6" fontId="45" fillId="0" borderId="39" xfId="0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6" fillId="0" borderId="0" xfId="2" applyAlignment="1">
      <alignment horizontal="center" vertical="center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/>
    </xf>
    <xf numFmtId="0" fontId="47" fillId="0" borderId="20" xfId="0" applyFont="1" applyFill="1" applyBorder="1" applyAlignment="1">
      <alignment horizontal="center" vertical="center" wrapText="1"/>
    </xf>
    <xf numFmtId="0" fontId="59" fillId="0" borderId="7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49" fillId="0" borderId="68" xfId="0" applyFont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0" fontId="47" fillId="0" borderId="36" xfId="0" applyFont="1" applyFill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47" fillId="0" borderId="66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7" fillId="0" borderId="52" xfId="0" applyFont="1" applyFill="1" applyBorder="1" applyAlignment="1">
      <alignment horizontal="center" vertical="center"/>
    </xf>
    <xf numFmtId="0" fontId="66" fillId="0" borderId="57" xfId="0" applyFont="1" applyBorder="1" applyAlignment="1">
      <alignment horizontal="center" vertical="center"/>
    </xf>
    <xf numFmtId="0" fontId="67" fillId="0" borderId="0" xfId="2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40" fillId="3" borderId="0" xfId="0" quotePrefix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2" fillId="3" borderId="37" xfId="0" applyFont="1" applyFill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1" fillId="3" borderId="73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42" fillId="0" borderId="33" xfId="0" applyFont="1" applyFill="1" applyBorder="1" applyAlignment="1">
      <alignment horizontal="center" vertical="center"/>
    </xf>
    <xf numFmtId="16" fontId="45" fillId="0" borderId="33" xfId="0" applyNumberFormat="1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16" fontId="45" fillId="0" borderId="30" xfId="0" applyNumberFormat="1" applyFont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/>
    </xf>
    <xf numFmtId="0" fontId="47" fillId="3" borderId="33" xfId="0" applyFont="1" applyFill="1" applyBorder="1" applyAlignment="1">
      <alignment horizontal="center" vertical="center"/>
    </xf>
    <xf numFmtId="0" fontId="25" fillId="3" borderId="31" xfId="0" quotePrefix="1" applyFont="1" applyFill="1" applyBorder="1" applyAlignment="1">
      <alignment horizontal="center" vertical="center"/>
    </xf>
    <xf numFmtId="0" fontId="41" fillId="0" borderId="54" xfId="0" applyFont="1" applyBorder="1" applyAlignment="1">
      <alignment horizontal="center" vertical="center" wrapText="1"/>
    </xf>
    <xf numFmtId="1" fontId="42" fillId="0" borderId="26" xfId="0" applyNumberFormat="1" applyFont="1" applyFill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74" fillId="0" borderId="26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" fontId="42" fillId="3" borderId="12" xfId="0" applyNumberFormat="1" applyFont="1" applyFill="1" applyBorder="1" applyAlignment="1">
      <alignment horizontal="center" vertical="center"/>
    </xf>
    <xf numFmtId="16" fontId="65" fillId="0" borderId="12" xfId="0" applyNumberFormat="1" applyFont="1" applyBorder="1" applyAlignment="1">
      <alignment horizontal="center" vertical="center"/>
    </xf>
    <xf numFmtId="1" fontId="42" fillId="3" borderId="1" xfId="0" applyNumberFormat="1" applyFont="1" applyFill="1" applyBorder="1" applyAlignment="1">
      <alignment horizontal="center" vertical="center"/>
    </xf>
    <xf numFmtId="16" fontId="65" fillId="0" borderId="1" xfId="0" applyNumberFormat="1" applyFont="1" applyBorder="1" applyAlignment="1">
      <alignment horizontal="center" vertical="center"/>
    </xf>
    <xf numFmtId="1" fontId="42" fillId="3" borderId="5" xfId="0" applyNumberFormat="1" applyFont="1" applyFill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16" fontId="65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1" fontId="42" fillId="3" borderId="17" xfId="0" applyNumberFormat="1" applyFont="1" applyFill="1" applyBorder="1" applyAlignment="1">
      <alignment horizontal="center" vertical="center"/>
    </xf>
    <xf numFmtId="16" fontId="65" fillId="0" borderId="17" xfId="0" applyNumberFormat="1" applyFont="1" applyBorder="1" applyAlignment="1">
      <alignment horizontal="center" vertical="center"/>
    </xf>
    <xf numFmtId="0" fontId="75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1" fontId="56" fillId="0" borderId="0" xfId="2" applyNumberFormat="1"/>
    <xf numFmtId="0" fontId="12" fillId="0" borderId="0" xfId="0" applyFont="1"/>
    <xf numFmtId="0" fontId="36" fillId="0" borderId="25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42" fillId="3" borderId="56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63" fillId="0" borderId="68" xfId="0" applyFont="1" applyBorder="1" applyAlignment="1">
      <alignment horizontal="center" vertical="center"/>
    </xf>
    <xf numFmtId="0" fontId="42" fillId="3" borderId="66" xfId="0" applyFont="1" applyFill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0" fontId="42" fillId="3" borderId="73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16" fontId="45" fillId="0" borderId="72" xfId="0" applyNumberFormat="1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0" fontId="3" fillId="0" borderId="5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3" fillId="0" borderId="3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41" xfId="0" applyFont="1" applyFill="1" applyBorder="1" applyAlignment="1">
      <alignment horizontal="center" vertical="center"/>
    </xf>
    <xf numFmtId="1" fontId="42" fillId="3" borderId="63" xfId="0" applyNumberFormat="1" applyFont="1" applyFill="1" applyBorder="1" applyAlignment="1">
      <alignment horizontal="center" vertical="center"/>
    </xf>
    <xf numFmtId="16" fontId="65" fillId="0" borderId="63" xfId="0" applyNumberFormat="1" applyFont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1" fillId="3" borderId="56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16" fontId="45" fillId="0" borderId="48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1" fontId="42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2" fillId="0" borderId="27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74" fillId="0" borderId="23" xfId="0" applyFont="1" applyBorder="1" applyAlignment="1">
      <alignment horizontal="center" vertical="center" wrapText="1"/>
    </xf>
    <xf numFmtId="1" fontId="24" fillId="0" borderId="36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" fontId="24" fillId="0" borderId="33" xfId="0" applyNumberFormat="1" applyFont="1" applyBorder="1" applyAlignment="1">
      <alignment horizontal="center" vertical="center"/>
    </xf>
    <xf numFmtId="1" fontId="24" fillId="0" borderId="39" xfId="0" applyNumberFormat="1" applyFont="1" applyBorder="1" applyAlignment="1">
      <alignment horizontal="center" vertical="center"/>
    </xf>
    <xf numFmtId="1" fontId="23" fillId="0" borderId="62" xfId="0" applyNumberFormat="1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42" fillId="3" borderId="78" xfId="0" applyFont="1" applyFill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/>
    </xf>
    <xf numFmtId="0" fontId="0" fillId="0" borderId="0" xfId="0" applyFont="1"/>
    <xf numFmtId="1" fontId="29" fillId="0" borderId="33" xfId="0" applyNumberFormat="1" applyFont="1" applyFill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1" fillId="0" borderId="7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8" fillId="0" borderId="45" xfId="0" applyNumberFormat="1" applyFont="1" applyBorder="1" applyAlignment="1">
      <alignment horizontal="center" vertical="center"/>
    </xf>
    <xf numFmtId="1" fontId="30" fillId="0" borderId="45" xfId="0" applyNumberFormat="1" applyFont="1" applyBorder="1" applyAlignment="1">
      <alignment horizontal="center" vertical="center"/>
    </xf>
    <xf numFmtId="1" fontId="29" fillId="0" borderId="45" xfId="0" applyNumberFormat="1" applyFont="1" applyFill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1" fontId="42" fillId="0" borderId="7" xfId="0" applyNumberFormat="1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/>
    </xf>
    <xf numFmtId="1" fontId="23" fillId="0" borderId="42" xfId="0" applyNumberFormat="1" applyFont="1" applyBorder="1" applyAlignment="1">
      <alignment horizontal="center" vertical="center"/>
    </xf>
    <xf numFmtId="0" fontId="41" fillId="3" borderId="48" xfId="0" applyFont="1" applyFill="1" applyBorder="1" applyAlignment="1">
      <alignment horizontal="center" vertical="center"/>
    </xf>
    <xf numFmtId="1" fontId="47" fillId="0" borderId="47" xfId="0" applyNumberFormat="1" applyFont="1" applyFill="1" applyBorder="1" applyAlignment="1">
      <alignment horizontal="center" vertical="center"/>
    </xf>
    <xf numFmtId="1" fontId="23" fillId="0" borderId="51" xfId="0" applyNumberFormat="1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" fontId="47" fillId="0" borderId="62" xfId="0" applyNumberFormat="1" applyFont="1" applyFill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36" xfId="0" applyFont="1" applyBorder="1" applyAlignment="1">
      <alignment horizontal="center" vertical="center"/>
    </xf>
    <xf numFmtId="0" fontId="42" fillId="3" borderId="47" xfId="0" applyFont="1" applyFill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47" fillId="3" borderId="2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9" fillId="0" borderId="76" xfId="0" applyFont="1" applyBorder="1" applyAlignment="1">
      <alignment vertical="center"/>
    </xf>
    <xf numFmtId="0" fontId="39" fillId="0" borderId="35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39" fillId="0" borderId="51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" fontId="11" fillId="3" borderId="12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" fontId="6" fillId="3" borderId="28" xfId="0" applyNumberFormat="1" applyFont="1" applyFill="1" applyBorder="1" applyAlignment="1">
      <alignment horizontal="center" vertical="center"/>
    </xf>
    <xf numFmtId="1" fontId="25" fillId="3" borderId="29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164" fontId="26" fillId="0" borderId="33" xfId="0" applyNumberFormat="1" applyFont="1" applyBorder="1" applyAlignment="1">
      <alignment horizontal="center" vertical="center"/>
    </xf>
    <xf numFmtId="164" fontId="26" fillId="0" borderId="39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" fontId="30" fillId="0" borderId="18" xfId="0" applyNumberFormat="1" applyFont="1" applyBorder="1" applyAlignment="1">
      <alignment horizontal="center" vertical="center"/>
    </xf>
    <xf numFmtId="1" fontId="29" fillId="0" borderId="24" xfId="0" applyNumberFormat="1" applyFont="1" applyFill="1" applyBorder="1" applyAlignment="1">
      <alignment horizontal="center" vertical="center"/>
    </xf>
    <xf numFmtId="1" fontId="26" fillId="0" borderId="23" xfId="0" applyNumberFormat="1" applyFont="1" applyBorder="1" applyAlignment="1">
      <alignment horizontal="center" vertical="center"/>
    </xf>
    <xf numFmtId="1" fontId="29" fillId="0" borderId="43" xfId="0" applyNumberFormat="1" applyFont="1" applyFill="1" applyBorder="1" applyAlignment="1">
      <alignment horizontal="center" vertical="center"/>
    </xf>
    <xf numFmtId="1" fontId="26" fillId="0" borderId="43" xfId="0" applyNumberFormat="1" applyFont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/>
    </xf>
    <xf numFmtId="1" fontId="23" fillId="0" borderId="33" xfId="0" applyNumberFormat="1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" fontId="45" fillId="0" borderId="63" xfId="0" applyNumberFormat="1" applyFont="1" applyBorder="1" applyAlignment="1">
      <alignment horizontal="center" vertical="center"/>
    </xf>
    <xf numFmtId="0" fontId="77" fillId="0" borderId="5" xfId="0" applyFont="1" applyBorder="1" applyAlignment="1">
      <alignment horizontal="center"/>
    </xf>
    <xf numFmtId="1" fontId="27" fillId="0" borderId="1" xfId="0" applyNumberFormat="1" applyFont="1" applyBorder="1" applyAlignment="1">
      <alignment horizontal="center" vertical="center"/>
    </xf>
    <xf numFmtId="1" fontId="78" fillId="0" borderId="1" xfId="0" applyNumberFormat="1" applyFont="1" applyBorder="1" applyAlignment="1">
      <alignment horizontal="center" vertical="center"/>
    </xf>
    <xf numFmtId="0" fontId="77" fillId="0" borderId="12" xfId="0" applyFont="1" applyBorder="1" applyAlignment="1">
      <alignment horizontal="center"/>
    </xf>
    <xf numFmtId="1" fontId="27" fillId="0" borderId="5" xfId="0" applyNumberFormat="1" applyFont="1" applyBorder="1" applyAlignment="1">
      <alignment horizontal="center" vertical="center"/>
    </xf>
    <xf numFmtId="0" fontId="77" fillId="0" borderId="1" xfId="0" applyFont="1" applyBorder="1" applyAlignment="1">
      <alignment horizontal="center"/>
    </xf>
    <xf numFmtId="1" fontId="78" fillId="0" borderId="5" xfId="0" applyNumberFormat="1" applyFont="1" applyBorder="1" applyAlignment="1">
      <alignment horizontal="center" vertical="center"/>
    </xf>
    <xf numFmtId="0" fontId="77" fillId="0" borderId="15" xfId="0" applyFont="1" applyBorder="1" applyAlignment="1">
      <alignment horizontal="center"/>
    </xf>
    <xf numFmtId="1" fontId="78" fillId="0" borderId="1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1" fontId="27" fillId="0" borderId="15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77" fillId="0" borderId="2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 vertical="center"/>
    </xf>
    <xf numFmtId="0" fontId="77" fillId="0" borderId="28" xfId="0" applyFont="1" applyBorder="1" applyAlignment="1">
      <alignment horizontal="center"/>
    </xf>
    <xf numFmtId="0" fontId="77" fillId="7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77" fillId="0" borderId="63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16" fontId="45" fillId="0" borderId="40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0" fontId="48" fillId="0" borderId="76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2" fillId="3" borderId="68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42" fillId="3" borderId="75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/>
    </xf>
    <xf numFmtId="164" fontId="26" fillId="3" borderId="36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6" fillId="3" borderId="36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11" fillId="0" borderId="41" xfId="0" applyNumberFormat="1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77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1" fontId="29" fillId="0" borderId="71" xfId="0" applyNumberFormat="1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1" fontId="11" fillId="0" borderId="60" xfId="0" applyNumberFormat="1" applyFont="1" applyBorder="1" applyAlignment="1">
      <alignment horizontal="center" vertical="center"/>
    </xf>
    <xf numFmtId="1" fontId="29" fillId="0" borderId="57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46" fillId="0" borderId="56" xfId="0" applyFont="1" applyBorder="1" applyAlignment="1">
      <alignment horizontal="center" vertical="center"/>
    </xf>
    <xf numFmtId="1" fontId="42" fillId="3" borderId="47" xfId="0" applyNumberFormat="1" applyFont="1" applyFill="1" applyBorder="1" applyAlignment="1">
      <alignment horizontal="center" vertical="center"/>
    </xf>
    <xf numFmtId="16" fontId="45" fillId="0" borderId="23" xfId="0" applyNumberFormat="1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2" fillId="3" borderId="5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0" fontId="41" fillId="3" borderId="34" xfId="0" applyFont="1" applyFill="1" applyBorder="1" applyAlignment="1">
      <alignment horizontal="center" vertical="center"/>
    </xf>
    <xf numFmtId="0" fontId="45" fillId="3" borderId="33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1" fillId="3" borderId="76" xfId="0" applyFont="1" applyFill="1" applyBorder="1" applyAlignment="1">
      <alignment horizontal="center" vertical="center"/>
    </xf>
    <xf numFmtId="0" fontId="42" fillId="0" borderId="71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6" fontId="45" fillId="0" borderId="71" xfId="0" applyNumberFormat="1" applyFont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 wrapText="1"/>
    </xf>
    <xf numFmtId="1" fontId="42" fillId="0" borderId="23" xfId="0" applyNumberFormat="1" applyFont="1" applyFill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/>
    </xf>
    <xf numFmtId="1" fontId="47" fillId="0" borderId="23" xfId="0" applyNumberFormat="1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1" fontId="42" fillId="3" borderId="71" xfId="0" applyNumberFormat="1" applyFont="1" applyFill="1" applyBorder="1" applyAlignment="1">
      <alignment horizontal="center" vertical="center"/>
    </xf>
    <xf numFmtId="0" fontId="46" fillId="0" borderId="71" xfId="0" applyFont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60" fillId="3" borderId="52" xfId="0" applyFont="1" applyFill="1" applyBorder="1" applyAlignment="1">
      <alignment horizontal="center" vertical="center"/>
    </xf>
    <xf numFmtId="0" fontId="61" fillId="3" borderId="66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 vertical="center"/>
    </xf>
    <xf numFmtId="0" fontId="61" fillId="0" borderId="33" xfId="0" applyFont="1" applyBorder="1" applyAlignment="1">
      <alignment horizontal="center"/>
    </xf>
    <xf numFmtId="0" fontId="61" fillId="0" borderId="47" xfId="0" applyFont="1" applyBorder="1" applyAlignment="1">
      <alignment horizontal="center"/>
    </xf>
    <xf numFmtId="16" fontId="45" fillId="0" borderId="47" xfId="0" applyNumberFormat="1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 wrapText="1"/>
    </xf>
    <xf numFmtId="1" fontId="47" fillId="0" borderId="71" xfId="0" applyNumberFormat="1" applyFont="1" applyFill="1" applyBorder="1" applyAlignment="1">
      <alignment horizontal="center" vertical="center"/>
    </xf>
    <xf numFmtId="1" fontId="26" fillId="0" borderId="70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1" fontId="6" fillId="0" borderId="49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64" fontId="26" fillId="0" borderId="3" xfId="0" applyNumberFormat="1" applyFont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1" fontId="15" fillId="0" borderId="64" xfId="0" applyNumberFormat="1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" fontId="10" fillId="3" borderId="76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1" fontId="11" fillId="3" borderId="45" xfId="0" applyNumberFormat="1" applyFont="1" applyFill="1" applyBorder="1" applyAlignment="1">
      <alignment horizontal="center" vertical="center"/>
    </xf>
    <xf numFmtId="1" fontId="6" fillId="3" borderId="45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" fontId="25" fillId="3" borderId="71" xfId="0" applyNumberFormat="1" applyFont="1" applyFill="1" applyBorder="1" applyAlignment="1">
      <alignment horizontal="center" vertical="center"/>
    </xf>
    <xf numFmtId="1" fontId="10" fillId="3" borderId="50" xfId="0" applyNumberFormat="1" applyFont="1" applyFill="1" applyBorder="1" applyAlignment="1">
      <alignment horizontal="center" vertical="center"/>
    </xf>
    <xf numFmtId="1" fontId="10" fillId="3" borderId="53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1" fontId="11" fillId="3" borderId="68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 wrapText="1"/>
    </xf>
    <xf numFmtId="1" fontId="42" fillId="0" borderId="36" xfId="0" applyNumberFormat="1" applyFont="1" applyFill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42" fillId="3" borderId="3" xfId="0" applyFont="1" applyFill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16" fontId="45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2" fillId="3" borderId="4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 wrapText="1"/>
    </xf>
    <xf numFmtId="0" fontId="41" fillId="3" borderId="47" xfId="0" applyFont="1" applyFill="1" applyBorder="1" applyAlignment="1">
      <alignment horizontal="center" vertical="center"/>
    </xf>
    <xf numFmtId="0" fontId="42" fillId="3" borderId="4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7" fillId="0" borderId="73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47" fillId="0" borderId="2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1" fontId="23" fillId="0" borderId="58" xfId="0" applyNumberFormat="1" applyFont="1" applyBorder="1" applyAlignment="1">
      <alignment horizontal="center" vertical="center"/>
    </xf>
    <xf numFmtId="1" fontId="10" fillId="0" borderId="44" xfId="0" applyNumberFormat="1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1" fontId="12" fillId="0" borderId="60" xfId="0" applyNumberFormat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" fontId="0" fillId="0" borderId="75" xfId="0" applyNumberFormat="1" applyFill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0" fontId="77" fillId="7" borderId="5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10" fillId="3" borderId="71" xfId="0" applyFont="1" applyFill="1" applyBorder="1" applyAlignment="1">
      <alignment horizontal="center" vertical="center"/>
    </xf>
    <xf numFmtId="0" fontId="53" fillId="0" borderId="77" xfId="0" applyFont="1" applyBorder="1" applyAlignment="1">
      <alignment horizontal="center" vertical="center"/>
    </xf>
    <xf numFmtId="0" fontId="49" fillId="0" borderId="79" xfId="0" applyFont="1" applyBorder="1" applyAlignment="1">
      <alignment horizontal="center" vertical="center"/>
    </xf>
    <xf numFmtId="0" fontId="47" fillId="3" borderId="53" xfId="0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/>
    </xf>
    <xf numFmtId="0" fontId="27" fillId="0" borderId="69" xfId="0" applyFont="1" applyBorder="1" applyAlignment="1">
      <alignment horizontal="center"/>
    </xf>
    <xf numFmtId="0" fontId="77" fillId="0" borderId="69" xfId="0" applyFont="1" applyBorder="1" applyAlignment="1">
      <alignment horizontal="center"/>
    </xf>
    <xf numFmtId="1" fontId="30" fillId="0" borderId="64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1" fontId="35" fillId="0" borderId="7" xfId="0" applyNumberFormat="1" applyFont="1" applyBorder="1" applyAlignment="1">
      <alignment horizontal="center" vertical="center"/>
    </xf>
    <xf numFmtId="1" fontId="9" fillId="0" borderId="49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1" fontId="0" fillId="0" borderId="19" xfId="0" applyNumberFormat="1" applyFont="1" applyBorder="1" applyAlignment="1">
      <alignment horizontal="center" vertical="center"/>
    </xf>
    <xf numFmtId="1" fontId="15" fillId="0" borderId="66" xfId="0" applyNumberFormat="1" applyFont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" fontId="0" fillId="0" borderId="80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1" fontId="10" fillId="0" borderId="29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 wrapText="1"/>
    </xf>
    <xf numFmtId="1" fontId="42" fillId="0" borderId="56" xfId="0" applyNumberFormat="1" applyFont="1" applyFill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1" fillId="0" borderId="78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47" fillId="3" borderId="30" xfId="0" applyFont="1" applyFill="1" applyBorder="1" applyAlignment="1">
      <alignment horizontal="center" vertical="center"/>
    </xf>
    <xf numFmtId="16" fontId="45" fillId="3" borderId="74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52" fillId="0" borderId="61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47" fillId="3" borderId="62" xfId="0" applyFont="1" applyFill="1" applyBorder="1" applyAlignment="1">
      <alignment horizontal="center" vertical="center"/>
    </xf>
    <xf numFmtId="16" fontId="45" fillId="3" borderId="50" xfId="0" applyNumberFormat="1" applyFont="1" applyFill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63" fillId="0" borderId="47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/>
    </xf>
    <xf numFmtId="1" fontId="23" fillId="0" borderId="70" xfId="0" applyNumberFormat="1" applyFont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0" borderId="30" xfId="0" applyFont="1" applyBorder="1" applyAlignment="1">
      <alignment horizontal="center" vertical="center"/>
    </xf>
    <xf numFmtId="0" fontId="48" fillId="0" borderId="55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16" fontId="45" fillId="0" borderId="21" xfId="0" applyNumberFormat="1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" fontId="45" fillId="0" borderId="3" xfId="0" applyNumberFormat="1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47" fillId="3" borderId="48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47" fillId="0" borderId="48" xfId="0" applyFont="1" applyBorder="1" applyAlignment="1">
      <alignment horizontal="center" vertical="center"/>
    </xf>
    <xf numFmtId="0" fontId="47" fillId="3" borderId="50" xfId="0" applyFont="1" applyFill="1" applyBorder="1" applyAlignment="1">
      <alignment horizontal="center" vertical="center"/>
    </xf>
    <xf numFmtId="0" fontId="42" fillId="0" borderId="47" xfId="0" applyFont="1" applyFill="1" applyBorder="1" applyAlignment="1">
      <alignment horizontal="center" vertical="center"/>
    </xf>
    <xf numFmtId="0" fontId="61" fillId="3" borderId="74" xfId="0" applyFont="1" applyFill="1" applyBorder="1" applyAlignment="1">
      <alignment horizontal="center"/>
    </xf>
    <xf numFmtId="0" fontId="61" fillId="0" borderId="29" xfId="0" applyFont="1" applyBorder="1" applyAlignment="1">
      <alignment horizontal="center"/>
    </xf>
    <xf numFmtId="16" fontId="45" fillId="0" borderId="29" xfId="0" applyNumberFormat="1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61" fillId="3" borderId="48" xfId="0" applyFont="1" applyFill="1" applyBorder="1" applyAlignment="1">
      <alignment horizontal="center"/>
    </xf>
    <xf numFmtId="0" fontId="43" fillId="0" borderId="79" xfId="0" applyFont="1" applyBorder="1" applyAlignment="1">
      <alignment horizontal="center" vertical="center"/>
    </xf>
    <xf numFmtId="0" fontId="77" fillId="0" borderId="10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47" fillId="0" borderId="74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/>
    </xf>
    <xf numFmtId="0" fontId="66" fillId="0" borderId="30" xfId="0" applyFont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/>
    </xf>
    <xf numFmtId="1" fontId="42" fillId="3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16" fontId="65" fillId="3" borderId="7" xfId="0" applyNumberFormat="1" applyFont="1" applyFill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1" fontId="23" fillId="0" borderId="22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3" borderId="74" xfId="0" applyFont="1" applyFill="1" applyBorder="1" applyAlignment="1">
      <alignment horizontal="center" vertical="center"/>
    </xf>
    <xf numFmtId="0" fontId="42" fillId="0" borderId="29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1" fontId="23" fillId="0" borderId="56" xfId="0" applyNumberFormat="1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1" fontId="47" fillId="0" borderId="24" xfId="0" applyNumberFormat="1" applyFont="1" applyFill="1" applyBorder="1" applyAlignment="1">
      <alignment horizontal="center" vertical="center"/>
    </xf>
    <xf numFmtId="1" fontId="23" fillId="0" borderId="24" xfId="0" applyNumberFormat="1" applyFont="1" applyBorder="1" applyAlignment="1">
      <alignment horizontal="center" vertical="center"/>
    </xf>
    <xf numFmtId="1" fontId="47" fillId="0" borderId="40" xfId="0" applyNumberFormat="1" applyFont="1" applyFill="1" applyBorder="1" applyAlignment="1">
      <alignment horizontal="center" vertical="center"/>
    </xf>
    <xf numFmtId="1" fontId="23" fillId="0" borderId="57" xfId="0" applyNumberFormat="1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3" fillId="3" borderId="43" xfId="0" applyFont="1" applyFill="1" applyBorder="1" applyAlignment="1">
      <alignment horizontal="center" vertical="center"/>
    </xf>
    <xf numFmtId="0" fontId="79" fillId="3" borderId="74" xfId="0" applyFont="1" applyFill="1" applyBorder="1" applyAlignment="1">
      <alignment horizontal="center"/>
    </xf>
    <xf numFmtId="0" fontId="47" fillId="3" borderId="40" xfId="0" applyFont="1" applyFill="1" applyBorder="1" applyAlignment="1">
      <alignment horizontal="center" vertical="center"/>
    </xf>
    <xf numFmtId="16" fontId="45" fillId="3" borderId="48" xfId="0" applyNumberFormat="1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1" fontId="3" fillId="0" borderId="44" xfId="0" applyNumberFormat="1" applyFont="1" applyFill="1" applyBorder="1" applyAlignment="1">
      <alignment horizontal="center" vertical="center"/>
    </xf>
    <xf numFmtId="1" fontId="10" fillId="0" borderId="56" xfId="0" applyNumberFormat="1" applyFont="1" applyBorder="1" applyAlignment="1">
      <alignment horizontal="center" vertical="center" wrapText="1"/>
    </xf>
    <xf numFmtId="1" fontId="3" fillId="0" borderId="71" xfId="0" applyNumberFormat="1" applyFont="1" applyFill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47" fillId="3" borderId="47" xfId="0" applyFont="1" applyFill="1" applyBorder="1" applyAlignment="1">
      <alignment horizontal="center" vertical="center"/>
    </xf>
    <xf numFmtId="16" fontId="45" fillId="3" borderId="40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1" fontId="12" fillId="0" borderId="68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41" xfId="0" applyNumberFormat="1" applyFont="1" applyBorder="1" applyAlignment="1">
      <alignment horizontal="center" vertical="center"/>
    </xf>
    <xf numFmtId="1" fontId="12" fillId="0" borderId="63" xfId="0" applyNumberFormat="1" applyFont="1" applyBorder="1" applyAlignment="1">
      <alignment horizontal="center" vertical="center"/>
    </xf>
    <xf numFmtId="1" fontId="35" fillId="0" borderId="10" xfId="0" applyNumberFormat="1" applyFont="1" applyFill="1" applyBorder="1" applyAlignment="1">
      <alignment horizontal="center" vertical="center"/>
    </xf>
    <xf numFmtId="1" fontId="30" fillId="0" borderId="33" xfId="0" applyNumberFormat="1" applyFont="1" applyBorder="1" applyAlignment="1">
      <alignment horizontal="center" vertical="center"/>
    </xf>
    <xf numFmtId="1" fontId="12" fillId="0" borderId="75" xfId="0" applyNumberFormat="1" applyFont="1" applyBorder="1" applyAlignment="1">
      <alignment horizontal="center" vertical="center"/>
    </xf>
    <xf numFmtId="1" fontId="35" fillId="0" borderId="38" xfId="0" applyNumberFormat="1" applyFont="1" applyFill="1" applyBorder="1" applyAlignment="1">
      <alignment horizontal="center" vertical="center"/>
    </xf>
    <xf numFmtId="1" fontId="30" fillId="0" borderId="3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27" fillId="0" borderId="7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1" fontId="11" fillId="0" borderId="74" xfId="0" applyNumberFormat="1" applyFont="1" applyBorder="1" applyAlignment="1">
      <alignment horizontal="center" vertical="center" wrapText="1"/>
    </xf>
    <xf numFmtId="1" fontId="6" fillId="0" borderId="28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15" fillId="0" borderId="27" xfId="0" applyNumberFormat="1" applyFont="1" applyBorder="1" applyAlignment="1">
      <alignment horizontal="center" vertical="center"/>
    </xf>
    <xf numFmtId="1" fontId="6" fillId="0" borderId="56" xfId="0" applyNumberFormat="1" applyFont="1" applyFill="1" applyBorder="1" applyAlignment="1">
      <alignment horizontal="center" vertical="center"/>
    </xf>
    <xf numFmtId="1" fontId="29" fillId="0" borderId="56" xfId="0" applyNumberFormat="1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1" fontId="0" fillId="8" borderId="7" xfId="0" applyNumberFormat="1" applyFont="1" applyFill="1" applyBorder="1" applyAlignment="1">
      <alignment horizontal="center" vertical="center"/>
    </xf>
    <xf numFmtId="1" fontId="8" fillId="8" borderId="7" xfId="0" applyNumberFormat="1" applyFont="1" applyFill="1" applyBorder="1" applyAlignment="1">
      <alignment horizontal="center" vertical="center"/>
    </xf>
    <xf numFmtId="1" fontId="30" fillId="8" borderId="49" xfId="0" applyNumberFormat="1" applyFont="1" applyFill="1" applyBorder="1" applyAlignment="1">
      <alignment horizontal="center" vertical="center"/>
    </xf>
    <xf numFmtId="1" fontId="29" fillId="8" borderId="3" xfId="0" applyNumberFormat="1" applyFont="1" applyFill="1" applyBorder="1" applyAlignment="1">
      <alignment horizontal="center" vertical="center"/>
    </xf>
    <xf numFmtId="164" fontId="26" fillId="8" borderId="22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" fontId="78" fillId="0" borderId="10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77" fillId="0" borderId="60" xfId="0" applyFont="1" applyBorder="1" applyAlignment="1">
      <alignment horizontal="center"/>
    </xf>
    <xf numFmtId="1" fontId="22" fillId="0" borderId="5" xfId="0" applyNumberFormat="1" applyFont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12" fillId="0" borderId="79" xfId="0" applyNumberFormat="1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25" fillId="0" borderId="47" xfId="0" applyNumberFormat="1" applyFont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77" fillId="0" borderId="19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 vertical="center"/>
    </xf>
    <xf numFmtId="0" fontId="77" fillId="0" borderId="33" xfId="0" applyFont="1" applyBorder="1" applyAlignment="1">
      <alignment horizontal="center"/>
    </xf>
    <xf numFmtId="0" fontId="10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77" fillId="3" borderId="19" xfId="0" applyFont="1" applyFill="1" applyBorder="1" applyAlignment="1">
      <alignment horizontal="center"/>
    </xf>
    <xf numFmtId="1" fontId="12" fillId="0" borderId="25" xfId="0" applyNumberFormat="1" applyFont="1" applyBorder="1" applyAlignment="1">
      <alignment horizontal="center" vertical="center"/>
    </xf>
    <xf numFmtId="0" fontId="77" fillId="3" borderId="5" xfId="0" applyFont="1" applyFill="1" applyBorder="1" applyAlignment="1">
      <alignment horizontal="center"/>
    </xf>
    <xf numFmtId="1" fontId="12" fillId="0" borderId="26" xfId="0" applyNumberFormat="1" applyFont="1" applyBorder="1" applyAlignment="1">
      <alignment horizontal="center" vertical="center"/>
    </xf>
    <xf numFmtId="0" fontId="77" fillId="3" borderId="10" xfId="0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 vertical="center"/>
    </xf>
    <xf numFmtId="0" fontId="77" fillId="3" borderId="33" xfId="0" applyFont="1" applyFill="1" applyBorder="1" applyAlignment="1">
      <alignment horizontal="center"/>
    </xf>
    <xf numFmtId="1" fontId="10" fillId="0" borderId="29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3" borderId="17" xfId="0" applyNumberFormat="1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25" fillId="3" borderId="39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" fontId="10" fillId="3" borderId="52" xfId="0" applyNumberFormat="1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1" fontId="11" fillId="3" borderId="75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1" fontId="26" fillId="0" borderId="24" xfId="0" applyNumberFormat="1" applyFont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/>
    </xf>
    <xf numFmtId="1" fontId="26" fillId="0" borderId="74" xfId="0" applyNumberFormat="1" applyFont="1" applyBorder="1" applyAlignment="1">
      <alignment horizontal="center" vertical="center"/>
    </xf>
    <xf numFmtId="1" fontId="26" fillId="0" borderId="66" xfId="0" applyNumberFormat="1" applyFont="1" applyBorder="1" applyAlignment="1">
      <alignment horizontal="center" vertical="center"/>
    </xf>
    <xf numFmtId="1" fontId="26" fillId="0" borderId="76" xfId="0" applyNumberFormat="1" applyFont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1" fontId="3" fillId="2" borderId="52" xfId="0" applyNumberFormat="1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9" fillId="5" borderId="48" xfId="0" applyFont="1" applyFill="1" applyBorder="1" applyAlignment="1">
      <alignment horizontal="center" vertical="center"/>
    </xf>
    <xf numFmtId="0" fontId="19" fillId="5" borderId="51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1" fontId="23" fillId="4" borderId="48" xfId="0" applyNumberFormat="1" applyFont="1" applyFill="1" applyBorder="1" applyAlignment="1">
      <alignment horizontal="center" vertical="center"/>
    </xf>
    <xf numFmtId="1" fontId="23" fillId="4" borderId="40" xfId="0" applyNumberFormat="1" applyFont="1" applyFill="1" applyBorder="1" applyAlignment="1">
      <alignment horizontal="center" vertical="center"/>
    </xf>
    <xf numFmtId="1" fontId="23" fillId="4" borderId="51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" fontId="0" fillId="0" borderId="53" xfId="0" applyNumberFormat="1" applyFill="1" applyBorder="1" applyAlignment="1">
      <alignment horizontal="center" vertical="center"/>
    </xf>
    <xf numFmtId="1" fontId="0" fillId="0" borderId="31" xfId="0" applyNumberFormat="1" applyFill="1" applyBorder="1" applyAlignment="1">
      <alignment horizontal="center" vertical="center"/>
    </xf>
    <xf numFmtId="1" fontId="0" fillId="0" borderId="76" xfId="0" applyNumberFormat="1" applyFill="1" applyBorder="1" applyAlignment="1">
      <alignment horizontal="center" vertical="center"/>
    </xf>
    <xf numFmtId="1" fontId="0" fillId="0" borderId="35" xfId="0" applyNumberFormat="1" applyFill="1" applyBorder="1" applyAlignment="1">
      <alignment horizontal="center" vertical="center"/>
    </xf>
    <xf numFmtId="1" fontId="0" fillId="0" borderId="48" xfId="0" applyNumberFormat="1" applyFill="1" applyBorder="1" applyAlignment="1">
      <alignment horizontal="center" vertical="center"/>
    </xf>
    <xf numFmtId="1" fontId="0" fillId="0" borderId="51" xfId="0" applyNumberFormat="1" applyFill="1" applyBorder="1" applyAlignment="1">
      <alignment horizontal="center" vertical="center"/>
    </xf>
    <xf numFmtId="1" fontId="19" fillId="5" borderId="20" xfId="0" applyNumberFormat="1" applyFont="1" applyFill="1" applyBorder="1" applyAlignment="1">
      <alignment horizontal="center" vertical="center"/>
    </xf>
    <xf numFmtId="1" fontId="19" fillId="5" borderId="21" xfId="0" applyNumberFormat="1" applyFont="1" applyFill="1" applyBorder="1" applyAlignment="1">
      <alignment horizontal="center" vertical="center"/>
    </xf>
    <xf numFmtId="1" fontId="19" fillId="5" borderId="22" xfId="0" applyNumberFormat="1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1" fontId="19" fillId="4" borderId="20" xfId="0" applyNumberFormat="1" applyFont="1" applyFill="1" applyBorder="1" applyAlignment="1">
      <alignment horizontal="center" vertical="center"/>
    </xf>
    <xf numFmtId="1" fontId="19" fillId="4" borderId="21" xfId="0" applyNumberFormat="1" applyFont="1" applyFill="1" applyBorder="1" applyAlignment="1">
      <alignment horizontal="center" vertical="center"/>
    </xf>
    <xf numFmtId="1" fontId="19" fillId="4" borderId="22" xfId="0" applyNumberFormat="1" applyFont="1" applyFill="1" applyBorder="1" applyAlignment="1">
      <alignment horizontal="center" vertical="center"/>
    </xf>
    <xf numFmtId="1" fontId="19" fillId="4" borderId="48" xfId="0" applyNumberFormat="1" applyFont="1" applyFill="1" applyBorder="1" applyAlignment="1">
      <alignment horizontal="center" vertical="center"/>
    </xf>
    <xf numFmtId="1" fontId="19" fillId="4" borderId="40" xfId="0" applyNumberFormat="1" applyFont="1" applyFill="1" applyBorder="1" applyAlignment="1">
      <alignment horizontal="center" vertical="center"/>
    </xf>
    <xf numFmtId="1" fontId="19" fillId="4" borderId="5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35" xfId="0" applyNumberFormat="1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1" fontId="23" fillId="4" borderId="21" xfId="0" applyNumberFormat="1" applyFont="1" applyFill="1" applyBorder="1" applyAlignment="1">
      <alignment horizontal="center" vertical="center"/>
    </xf>
    <xf numFmtId="1" fontId="23" fillId="4" borderId="22" xfId="0" applyNumberFormat="1" applyFont="1" applyFill="1" applyBorder="1" applyAlignment="1">
      <alignment horizontal="center" vertical="center"/>
    </xf>
    <xf numFmtId="1" fontId="3" fillId="0" borderId="74" xfId="0" applyNumberFormat="1" applyFont="1" applyFill="1" applyBorder="1" applyAlignment="1">
      <alignment horizontal="center" vertical="center"/>
    </xf>
    <xf numFmtId="1" fontId="3" fillId="0" borderId="55" xfId="0" applyNumberFormat="1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44" fillId="2" borderId="22" xfId="0" applyFont="1" applyFill="1" applyBorder="1" applyAlignment="1">
      <alignment horizontal="center" vertical="center"/>
    </xf>
    <xf numFmtId="0" fontId="55" fillId="0" borderId="48" xfId="0" applyFont="1" applyBorder="1" applyAlignment="1">
      <alignment horizontal="center" vertical="center"/>
    </xf>
    <xf numFmtId="0" fontId="55" fillId="0" borderId="40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4" fillId="2" borderId="24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72" fillId="4" borderId="53" xfId="0" applyFont="1" applyFill="1" applyBorder="1" applyAlignment="1">
      <alignment horizontal="right" vertical="center"/>
    </xf>
    <xf numFmtId="0" fontId="72" fillId="4" borderId="24" xfId="0" applyFont="1" applyFill="1" applyBorder="1" applyAlignment="1">
      <alignment horizontal="right" vertical="center"/>
    </xf>
    <xf numFmtId="0" fontId="72" fillId="4" borderId="31" xfId="0" applyFont="1" applyFill="1" applyBorder="1" applyAlignment="1">
      <alignment horizontal="right" vertical="center"/>
    </xf>
    <xf numFmtId="0" fontId="73" fillId="4" borderId="76" xfId="0" applyFont="1" applyFill="1" applyBorder="1" applyAlignment="1">
      <alignment horizontal="center" vertical="center" wrapText="1"/>
    </xf>
    <xf numFmtId="0" fontId="73" fillId="4" borderId="0" xfId="0" applyFont="1" applyFill="1" applyBorder="1" applyAlignment="1">
      <alignment horizontal="center" vertical="center" wrapText="1"/>
    </xf>
    <xf numFmtId="0" fontId="73" fillId="4" borderId="35" xfId="0" applyFont="1" applyFill="1" applyBorder="1" applyAlignment="1">
      <alignment horizontal="center" vertical="center" wrapText="1"/>
    </xf>
    <xf numFmtId="0" fontId="73" fillId="4" borderId="31" xfId="0" applyFont="1" applyFill="1" applyBorder="1" applyAlignment="1">
      <alignment horizontal="center" vertical="center" wrapText="1"/>
    </xf>
    <xf numFmtId="0" fontId="73" fillId="2" borderId="53" xfId="0" applyFont="1" applyFill="1" applyBorder="1" applyAlignment="1">
      <alignment horizontal="center" vertical="center"/>
    </xf>
    <xf numFmtId="0" fontId="73" fillId="2" borderId="24" xfId="0" applyFont="1" applyFill="1" applyBorder="1" applyAlignment="1">
      <alignment horizontal="center" vertical="center"/>
    </xf>
    <xf numFmtId="0" fontId="70" fillId="3" borderId="53" xfId="0" applyFont="1" applyFill="1" applyBorder="1" applyAlignment="1">
      <alignment horizontal="center" vertical="center"/>
    </xf>
    <xf numFmtId="0" fontId="70" fillId="3" borderId="31" xfId="0" applyFont="1" applyFill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71" fillId="2" borderId="20" xfId="0" applyFont="1" applyFill="1" applyBorder="1" applyAlignment="1">
      <alignment horizontal="center" vertical="center"/>
    </xf>
    <xf numFmtId="0" fontId="71" fillId="2" borderId="21" xfId="0" applyFont="1" applyFill="1" applyBorder="1" applyAlignment="1">
      <alignment horizontal="center" vertical="center"/>
    </xf>
    <xf numFmtId="0" fontId="71" fillId="2" borderId="22" xfId="0" applyFont="1" applyFill="1" applyBorder="1" applyAlignment="1">
      <alignment horizontal="center" vertical="center"/>
    </xf>
    <xf numFmtId="0" fontId="59" fillId="0" borderId="49" xfId="0" applyFont="1" applyBorder="1" applyAlignment="1">
      <alignment horizontal="center" vertical="center"/>
    </xf>
    <xf numFmtId="0" fontId="59" fillId="0" borderId="2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3" borderId="5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=@counta(C6:C18)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topLeftCell="A7" workbookViewId="0">
      <selection activeCell="N23" sqref="N23"/>
    </sheetView>
  </sheetViews>
  <sheetFormatPr defaultRowHeight="15"/>
  <cols>
    <col min="1" max="1" width="6.140625" customWidth="1"/>
    <col min="3" max="3" width="21" customWidth="1"/>
    <col min="6" max="6" width="0" hidden="1" customWidth="1"/>
    <col min="7" max="7" width="6.5703125" customWidth="1"/>
    <col min="8" max="8" width="6.85546875" customWidth="1"/>
    <col min="9" max="9" width="7.28515625" customWidth="1"/>
    <col min="10" max="11" width="7.85546875" customWidth="1"/>
    <col min="12" max="12" width="0" hidden="1" customWidth="1"/>
    <col min="13" max="13" width="7.28515625" customWidth="1"/>
  </cols>
  <sheetData>
    <row r="1" spans="1:22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  <c r="S1" s="1421"/>
    </row>
    <row r="2" spans="1:22" ht="16.5" thickBot="1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10"/>
      <c r="P2" s="11"/>
      <c r="Q2" s="12"/>
      <c r="R2" s="12"/>
      <c r="S2" s="12"/>
    </row>
    <row r="3" spans="1:22" ht="24" thickBot="1">
      <c r="A3" s="13"/>
      <c r="B3" s="1422" t="s">
        <v>183</v>
      </c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  <c r="N3" s="1423"/>
      <c r="O3" s="1423"/>
      <c r="P3" s="1423"/>
      <c r="Q3" s="1423"/>
      <c r="R3" s="1423"/>
      <c r="S3" s="1424"/>
      <c r="U3" s="1418"/>
      <c r="V3" s="1418"/>
    </row>
    <row r="4" spans="1:22" ht="16.5" thickBot="1">
      <c r="A4" s="3"/>
      <c r="B4" s="14"/>
      <c r="C4" s="5"/>
      <c r="D4" s="15"/>
      <c r="E4" s="6"/>
      <c r="F4" s="16"/>
      <c r="G4" s="12"/>
      <c r="H4" s="12"/>
      <c r="I4" s="12"/>
      <c r="J4" s="12"/>
      <c r="K4" s="12"/>
      <c r="L4" s="12"/>
      <c r="M4" s="17"/>
      <c r="N4" s="12"/>
      <c r="O4" s="12"/>
      <c r="P4" s="12"/>
      <c r="Q4" s="12"/>
      <c r="R4" s="12"/>
      <c r="S4" s="12"/>
      <c r="U4" s="685"/>
      <c r="V4" s="685"/>
    </row>
    <row r="5" spans="1:22" ht="24.75" customHeight="1" thickBot="1">
      <c r="A5" s="3"/>
      <c r="B5" s="1415" t="s">
        <v>17</v>
      </c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417"/>
      <c r="S5" s="12"/>
      <c r="U5" s="686"/>
      <c r="V5" s="687"/>
    </row>
    <row r="6" spans="1:22" ht="32.25" thickBot="1">
      <c r="A6" s="3"/>
      <c r="B6" s="18" t="s">
        <v>185</v>
      </c>
      <c r="C6" s="19" t="s">
        <v>19</v>
      </c>
      <c r="D6" s="20" t="s">
        <v>20</v>
      </c>
      <c r="E6" s="6" t="s">
        <v>21</v>
      </c>
      <c r="F6" s="688"/>
      <c r="G6" s="23" t="s">
        <v>22</v>
      </c>
      <c r="H6" s="23">
        <v>10</v>
      </c>
      <c r="I6" s="23">
        <v>9</v>
      </c>
      <c r="J6" s="23">
        <v>8</v>
      </c>
      <c r="K6" s="23">
        <v>7</v>
      </c>
      <c r="L6" s="24"/>
      <c r="M6" s="25">
        <v>0</v>
      </c>
      <c r="N6" s="25" t="s">
        <v>23</v>
      </c>
      <c r="O6" s="84" t="s">
        <v>24</v>
      </c>
      <c r="P6" s="26" t="s">
        <v>25</v>
      </c>
      <c r="Q6" s="27" t="s">
        <v>26</v>
      </c>
      <c r="R6" s="28" t="s">
        <v>27</v>
      </c>
      <c r="S6" s="12"/>
      <c r="U6" s="686"/>
      <c r="V6" s="687"/>
    </row>
    <row r="7" spans="1:22" ht="16.5" thickBot="1">
      <c r="A7" s="29" t="s">
        <v>28</v>
      </c>
      <c r="B7" s="851">
        <v>1786</v>
      </c>
      <c r="C7" s="852" t="s">
        <v>29</v>
      </c>
      <c r="D7" s="853" t="s">
        <v>14</v>
      </c>
      <c r="E7" s="854" t="s">
        <v>3</v>
      </c>
      <c r="F7" s="69"/>
      <c r="G7" s="855">
        <v>68</v>
      </c>
      <c r="H7" s="855">
        <v>47</v>
      </c>
      <c r="I7" s="855">
        <v>31</v>
      </c>
      <c r="J7" s="855">
        <v>2</v>
      </c>
      <c r="K7" s="855">
        <v>2</v>
      </c>
      <c r="L7" s="855"/>
      <c r="M7" s="856"/>
      <c r="N7" s="857">
        <f>(G7*10)+(H7*10)+(I7*9)+(J7*8)+(K7*7)+(L7*6)</f>
        <v>1459</v>
      </c>
      <c r="O7" s="70">
        <f>SUM(G7:M7)</f>
        <v>150</v>
      </c>
      <c r="P7" s="1058" t="str">
        <f>IF(N7&gt;1475,"Yes","NO")</f>
        <v>NO</v>
      </c>
      <c r="Q7" s="1097"/>
      <c r="R7" s="1098"/>
      <c r="S7" s="77"/>
    </row>
    <row r="8" spans="1:22" ht="16.5" thickBot="1">
      <c r="A8" s="29" t="s">
        <v>28</v>
      </c>
      <c r="B8" s="1087">
        <v>1465</v>
      </c>
      <c r="C8" s="160" t="s">
        <v>30</v>
      </c>
      <c r="D8" s="65" t="s">
        <v>14</v>
      </c>
      <c r="E8" s="66" t="s">
        <v>4</v>
      </c>
      <c r="F8" s="67"/>
      <c r="G8" s="68">
        <v>44</v>
      </c>
      <c r="H8" s="68">
        <v>34</v>
      </c>
      <c r="I8" s="68">
        <v>51</v>
      </c>
      <c r="J8" s="68">
        <v>18</v>
      </c>
      <c r="K8" s="68"/>
      <c r="L8" s="68"/>
      <c r="M8" s="1088">
        <v>3</v>
      </c>
      <c r="N8" s="45">
        <f>(G8*10)+(H8*10)+(I8*9)+(J8*8)+(K8*7)+(L8*6)</f>
        <v>1383</v>
      </c>
      <c r="O8" s="46">
        <f>SUM(G8:M8)</f>
        <v>150</v>
      </c>
      <c r="P8" s="209" t="str">
        <f>IF(N8&gt;1475,"Yes","NO")</f>
        <v>NO</v>
      </c>
      <c r="Q8" s="1090"/>
      <c r="R8" s="1091"/>
      <c r="S8" s="77"/>
    </row>
    <row r="9" spans="1:22" ht="16.5" thickBot="1">
      <c r="A9" s="29" t="s">
        <v>28</v>
      </c>
      <c r="B9" s="851">
        <v>1569</v>
      </c>
      <c r="C9" s="852" t="s">
        <v>220</v>
      </c>
      <c r="D9" s="853" t="s">
        <v>9</v>
      </c>
      <c r="E9" s="854" t="s">
        <v>5</v>
      </c>
      <c r="F9" s="69"/>
      <c r="G9" s="855">
        <v>21</v>
      </c>
      <c r="H9" s="855">
        <v>28</v>
      </c>
      <c r="I9" s="855">
        <v>37</v>
      </c>
      <c r="J9" s="855">
        <v>29</v>
      </c>
      <c r="K9" s="855">
        <v>16</v>
      </c>
      <c r="L9" s="855"/>
      <c r="M9" s="856">
        <v>19</v>
      </c>
      <c r="N9" s="857">
        <f>(G9*10)+(H9*10)+(I9*9)+(J9*8)+(K9*7)+(L9*6)</f>
        <v>1167</v>
      </c>
      <c r="O9" s="70">
        <f>SUM(G9:M9)</f>
        <v>150</v>
      </c>
      <c r="P9" s="858" t="str">
        <f>IF(N9&gt;1475,"Yes","NO")</f>
        <v>NO</v>
      </c>
      <c r="Q9" s="857" t="str">
        <f>IF(P9="yes","HM","")</f>
        <v/>
      </c>
      <c r="R9" s="859" t="str">
        <f>IF(N9=0," ",IF(O9&lt;&gt;150,"ERROR!"," "))</f>
        <v xml:space="preserve"> </v>
      </c>
      <c r="S9" s="12"/>
    </row>
    <row r="10" spans="1:22" ht="16.5" thickBot="1">
      <c r="A10" s="3"/>
      <c r="B10" s="79">
        <f>COUNT(B7:B9)</f>
        <v>3</v>
      </c>
      <c r="C10" s="1412" t="s">
        <v>32</v>
      </c>
      <c r="D10" s="1413"/>
      <c r="E10" s="1412" t="s">
        <v>33</v>
      </c>
      <c r="F10" s="1413"/>
      <c r="G10" s="1413"/>
      <c r="H10" s="1413"/>
      <c r="I10" s="1413"/>
      <c r="J10" s="1413"/>
      <c r="K10" s="1413"/>
      <c r="L10" s="1413"/>
      <c r="M10" s="1413"/>
      <c r="N10" s="1413"/>
      <c r="O10" s="1413"/>
      <c r="P10" s="1413"/>
      <c r="Q10" s="1414"/>
      <c r="R10" s="12"/>
      <c r="S10" s="12"/>
    </row>
    <row r="13" spans="1:22" ht="16.5" thickBot="1">
      <c r="A13" s="3"/>
      <c r="B13" s="14"/>
      <c r="C13" s="5"/>
      <c r="D13" s="15"/>
      <c r="E13" s="6"/>
      <c r="F13" s="16"/>
      <c r="G13" s="12"/>
      <c r="H13" s="12"/>
      <c r="I13" s="12"/>
      <c r="J13" s="12"/>
      <c r="K13" s="12"/>
      <c r="L13" s="12"/>
      <c r="M13" s="17"/>
      <c r="N13" s="12"/>
      <c r="O13" s="12"/>
      <c r="P13" s="12"/>
      <c r="Q13" s="12"/>
      <c r="R13" s="12"/>
      <c r="S13" s="12"/>
    </row>
    <row r="14" spans="1:22" ht="27" thickBot="1">
      <c r="A14" s="80"/>
      <c r="B14" s="1415" t="s">
        <v>34</v>
      </c>
      <c r="C14" s="1416"/>
      <c r="D14" s="1416"/>
      <c r="E14" s="1416"/>
      <c r="F14" s="1416"/>
      <c r="G14" s="1416"/>
      <c r="H14" s="1416"/>
      <c r="I14" s="1416"/>
      <c r="J14" s="1416"/>
      <c r="K14" s="1416"/>
      <c r="L14" s="1416"/>
      <c r="M14" s="1416"/>
      <c r="N14" s="1416"/>
      <c r="O14" s="1416"/>
      <c r="P14" s="1416"/>
      <c r="Q14" s="1416"/>
      <c r="R14" s="1417"/>
      <c r="S14" s="80"/>
    </row>
    <row r="15" spans="1:22" ht="32.25" thickBot="1">
      <c r="A15" s="3"/>
      <c r="B15" s="18" t="s">
        <v>185</v>
      </c>
      <c r="C15" s="19" t="s">
        <v>19</v>
      </c>
      <c r="D15" s="20" t="s">
        <v>20</v>
      </c>
      <c r="E15" s="81" t="s">
        <v>21</v>
      </c>
      <c r="F15" s="688"/>
      <c r="G15" s="69" t="s">
        <v>22</v>
      </c>
      <c r="H15" s="82">
        <v>10</v>
      </c>
      <c r="I15" s="82">
        <v>9</v>
      </c>
      <c r="J15" s="82">
        <v>8</v>
      </c>
      <c r="K15" s="82">
        <v>7</v>
      </c>
      <c r="L15" s="24"/>
      <c r="M15" s="25">
        <v>0</v>
      </c>
      <c r="N15" s="83" t="s">
        <v>23</v>
      </c>
      <c r="O15" s="84" t="s">
        <v>24</v>
      </c>
      <c r="P15" s="26" t="s">
        <v>25</v>
      </c>
      <c r="Q15" s="27" t="s">
        <v>26</v>
      </c>
      <c r="R15" s="85" t="s">
        <v>27</v>
      </c>
      <c r="S15" s="12"/>
    </row>
    <row r="16" spans="1:22" ht="15.75">
      <c r="A16" s="29" t="s">
        <v>35</v>
      </c>
      <c r="B16" s="30">
        <v>1809</v>
      </c>
      <c r="C16" s="64" t="s">
        <v>36</v>
      </c>
      <c r="D16" s="31" t="s">
        <v>9</v>
      </c>
      <c r="E16" s="32" t="s">
        <v>4</v>
      </c>
      <c r="F16" s="33">
        <v>2</v>
      </c>
      <c r="G16" s="777">
        <v>18</v>
      </c>
      <c r="H16" s="777">
        <v>31</v>
      </c>
      <c r="I16" s="777">
        <v>65</v>
      </c>
      <c r="J16" s="777">
        <v>26</v>
      </c>
      <c r="K16" s="777">
        <v>8</v>
      </c>
      <c r="L16" s="777"/>
      <c r="M16" s="87">
        <v>2</v>
      </c>
      <c r="N16" s="35">
        <f>(G16*10)+(H16*10)+(I16*9)+(J16*8)+(K16*7)+(L16*6)</f>
        <v>1339</v>
      </c>
      <c r="O16" s="36">
        <f>SUM(G16:M16)</f>
        <v>150</v>
      </c>
      <c r="P16" s="948" t="str">
        <f>IF(N16&gt;1439,"Yes","NO")</f>
        <v>NO</v>
      </c>
      <c r="Q16" s="615"/>
      <c r="R16" s="63"/>
      <c r="S16" s="12"/>
    </row>
    <row r="17" spans="1:19" ht="16.5" thickBot="1">
      <c r="A17" s="29" t="s">
        <v>35</v>
      </c>
      <c r="B17" s="1087">
        <v>169</v>
      </c>
      <c r="C17" s="160" t="s">
        <v>206</v>
      </c>
      <c r="D17" s="65" t="s">
        <v>7</v>
      </c>
      <c r="E17" s="66" t="s">
        <v>4</v>
      </c>
      <c r="F17" s="67"/>
      <c r="G17" s="1099">
        <v>29</v>
      </c>
      <c r="H17" s="1099">
        <v>42</v>
      </c>
      <c r="I17" s="1099">
        <v>43</v>
      </c>
      <c r="J17" s="1099">
        <v>18</v>
      </c>
      <c r="K17" s="1099">
        <v>7</v>
      </c>
      <c r="L17" s="1099"/>
      <c r="M17" s="1100">
        <v>11</v>
      </c>
      <c r="N17" s="1089">
        <f>(G17*10)+(H17*10)+(I17*9)+(J17*8)+(K17*7)+(L17*6)</f>
        <v>1290</v>
      </c>
      <c r="O17" s="1101">
        <f>SUM(G17:M17)</f>
        <v>150</v>
      </c>
      <c r="P17" s="1281" t="str">
        <f>IF(N17&gt;1439,"Yes","NO")</f>
        <v>NO</v>
      </c>
      <c r="Q17" s="1102"/>
      <c r="R17" s="63" t="str">
        <f>IF(N17=0," ",IF(O17&lt;&gt;150,"ERROR!"," "))</f>
        <v xml:space="preserve"> </v>
      </c>
      <c r="S17" s="12"/>
    </row>
    <row r="18" spans="1:19" ht="16.5" thickBot="1">
      <c r="A18" s="29" t="s">
        <v>35</v>
      </c>
      <c r="B18" s="851">
        <v>2138</v>
      </c>
      <c r="C18" s="852" t="s">
        <v>56</v>
      </c>
      <c r="D18" s="853" t="s">
        <v>9</v>
      </c>
      <c r="E18" s="854" t="s">
        <v>5</v>
      </c>
      <c r="F18" s="69">
        <v>1</v>
      </c>
      <c r="G18" s="973">
        <v>18</v>
      </c>
      <c r="H18" s="973">
        <v>36</v>
      </c>
      <c r="I18" s="973">
        <v>35</v>
      </c>
      <c r="J18" s="973">
        <v>33</v>
      </c>
      <c r="K18" s="973">
        <v>10</v>
      </c>
      <c r="L18" s="973"/>
      <c r="M18" s="1103">
        <v>18</v>
      </c>
      <c r="N18" s="857">
        <f>(G18*10)+(H18*10)+(I18*9)+(J18*8)+(K18*7)+(L18*6)</f>
        <v>1189</v>
      </c>
      <c r="O18" s="70">
        <f>SUM(G18:M18)</f>
        <v>150</v>
      </c>
      <c r="P18" s="858" t="str">
        <f>IF(N18&gt;1379,"Yes","NO")</f>
        <v>NO</v>
      </c>
      <c r="Q18" s="988" t="str">
        <f>IF(P18="yes","G","")</f>
        <v/>
      </c>
      <c r="R18" s="1104" t="str">
        <f t="shared" ref="R18" si="0">IF(N18=0," ",IF(O18&lt;&gt;150,"ERROR!"," "))</f>
        <v xml:space="preserve"> </v>
      </c>
      <c r="S18" s="12"/>
    </row>
    <row r="19" spans="1:19" ht="19.5" thickBot="1">
      <c r="A19" s="3"/>
      <c r="B19" s="79">
        <f>COUNT(B16:B18)</f>
        <v>3</v>
      </c>
      <c r="C19" s="1410" t="s">
        <v>32</v>
      </c>
      <c r="D19" s="1411"/>
      <c r="E19" s="1412" t="s">
        <v>33</v>
      </c>
      <c r="F19" s="1413"/>
      <c r="G19" s="1413"/>
      <c r="H19" s="1413"/>
      <c r="I19" s="1413"/>
      <c r="J19" s="1413"/>
      <c r="K19" s="1413"/>
      <c r="L19" s="1413"/>
      <c r="M19" s="1413"/>
      <c r="N19" s="1413"/>
      <c r="O19" s="1413"/>
      <c r="P19" s="1413"/>
      <c r="Q19" s="1414"/>
      <c r="R19" s="12"/>
      <c r="S19" s="12"/>
    </row>
  </sheetData>
  <sortState ref="B16:N17">
    <sortCondition descending="1" ref="N16:N17"/>
  </sortState>
  <mergeCells count="9">
    <mergeCell ref="A1:S1"/>
    <mergeCell ref="B3:S3"/>
    <mergeCell ref="C10:D10"/>
    <mergeCell ref="E10:Q10"/>
    <mergeCell ref="C19:D19"/>
    <mergeCell ref="E19:Q19"/>
    <mergeCell ref="B5:R5"/>
    <mergeCell ref="U3:V3"/>
    <mergeCell ref="B14:R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topLeftCell="A40" workbookViewId="0">
      <selection activeCell="D12" sqref="D12"/>
    </sheetView>
  </sheetViews>
  <sheetFormatPr defaultRowHeight="15"/>
  <cols>
    <col min="1" max="1" width="6.140625" customWidth="1"/>
    <col min="3" max="3" width="27.28515625" customWidth="1"/>
    <col min="6" max="6" width="0" hidden="1" customWidth="1"/>
    <col min="14" max="14" width="9.140625" style="751"/>
  </cols>
  <sheetData>
    <row r="1" spans="1:20" ht="15.75" thickBot="1"/>
    <row r="2" spans="1:20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  <c r="T2" s="232"/>
    </row>
    <row r="3" spans="1:20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  <c r="T3" s="12"/>
    </row>
    <row r="4" spans="1:20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4"/>
      <c r="T4" s="13"/>
    </row>
    <row r="5" spans="1:20" ht="16.5" thickBot="1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10"/>
      <c r="P5" s="11"/>
      <c r="Q5" s="12"/>
      <c r="R5" s="12"/>
      <c r="S5" s="12"/>
      <c r="T5" s="12"/>
    </row>
    <row r="6" spans="1:20" ht="27" thickBot="1">
      <c r="A6" s="3"/>
      <c r="B6" s="4"/>
      <c r="C6" s="1415" t="s">
        <v>1</v>
      </c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6"/>
      <c r="O6" s="1417"/>
      <c r="P6" s="11"/>
      <c r="Q6" s="12"/>
      <c r="R6" s="12"/>
      <c r="S6" s="12"/>
      <c r="T6" s="12"/>
    </row>
    <row r="7" spans="1:20" ht="32.25" thickBot="1">
      <c r="A7" s="3"/>
      <c r="B7" s="165" t="s">
        <v>18</v>
      </c>
      <c r="C7" s="354" t="s">
        <v>19</v>
      </c>
      <c r="D7" s="233" t="s">
        <v>20</v>
      </c>
      <c r="E7" s="234" t="s">
        <v>21</v>
      </c>
      <c r="F7" s="21"/>
      <c r="G7" s="355" t="s">
        <v>22</v>
      </c>
      <c r="H7" s="356">
        <v>10</v>
      </c>
      <c r="I7" s="356">
        <v>9</v>
      </c>
      <c r="J7" s="356">
        <v>8</v>
      </c>
      <c r="K7" s="356">
        <v>7</v>
      </c>
      <c r="L7" s="357">
        <v>6</v>
      </c>
      <c r="M7" s="358">
        <v>5</v>
      </c>
      <c r="N7" s="268">
        <v>0</v>
      </c>
      <c r="O7" s="172" t="s">
        <v>23</v>
      </c>
      <c r="P7" s="359" t="s">
        <v>39</v>
      </c>
      <c r="Q7" s="340"/>
      <c r="R7" s="145" t="s">
        <v>25</v>
      </c>
      <c r="S7" s="176" t="s">
        <v>26</v>
      </c>
      <c r="T7" s="85" t="s">
        <v>27</v>
      </c>
    </row>
    <row r="8" spans="1:20" ht="19.5" thickBot="1">
      <c r="A8" s="29" t="s">
        <v>108</v>
      </c>
      <c r="B8" s="290">
        <v>2434</v>
      </c>
      <c r="C8" s="111" t="s">
        <v>53</v>
      </c>
      <c r="D8" s="372" t="s">
        <v>9</v>
      </c>
      <c r="E8" s="59" t="s">
        <v>15</v>
      </c>
      <c r="F8" s="60">
        <v>5</v>
      </c>
      <c r="G8" s="365">
        <v>15</v>
      </c>
      <c r="H8" s="365">
        <v>12</v>
      </c>
      <c r="I8" s="365">
        <v>3</v>
      </c>
      <c r="J8" s="365"/>
      <c r="K8" s="365"/>
      <c r="L8" s="366"/>
      <c r="M8" s="366"/>
      <c r="N8" s="279"/>
      <c r="O8" s="338">
        <f t="shared" ref="O8:O9" si="0">(G8*10)+(H8*10)+(I8*9)+(J8*8)+(K8*7)+(L8*6)+(M8*5)</f>
        <v>297</v>
      </c>
      <c r="P8" s="266">
        <f>SUM(G8:N8)</f>
        <v>30</v>
      </c>
      <c r="Q8" s="5"/>
      <c r="R8" s="1469"/>
      <c r="S8" s="1470"/>
      <c r="T8" s="157" t="str">
        <f>IF(O8=0," ",IF(P8&lt;&gt;30,"ERROR!"," "))</f>
        <v xml:space="preserve"> </v>
      </c>
    </row>
    <row r="9" spans="1:20" ht="19.5" thickBot="1">
      <c r="A9" s="29" t="s">
        <v>108</v>
      </c>
      <c r="B9" s="436">
        <v>1314</v>
      </c>
      <c r="C9" s="852" t="s">
        <v>37</v>
      </c>
      <c r="D9" s="627" t="s">
        <v>12</v>
      </c>
      <c r="E9" s="854" t="s">
        <v>3</v>
      </c>
      <c r="F9" s="69">
        <v>4</v>
      </c>
      <c r="G9" s="1131">
        <v>9</v>
      </c>
      <c r="H9" s="1131">
        <v>12</v>
      </c>
      <c r="I9" s="1131">
        <v>8</v>
      </c>
      <c r="J9" s="1131">
        <v>1</v>
      </c>
      <c r="K9" s="1131"/>
      <c r="L9" s="1132"/>
      <c r="M9" s="1132"/>
      <c r="N9" s="1133"/>
      <c r="O9" s="1019">
        <f t="shared" si="0"/>
        <v>290</v>
      </c>
      <c r="P9" s="1134">
        <f t="shared" ref="P9" si="1">SUM(G9:N9)</f>
        <v>30</v>
      </c>
      <c r="Q9" s="5"/>
      <c r="R9" s="1469"/>
      <c r="S9" s="1470"/>
      <c r="T9" s="157"/>
    </row>
    <row r="10" spans="1:20" ht="18.75">
      <c r="A10" s="29" t="s">
        <v>108</v>
      </c>
      <c r="B10" s="281">
        <v>1798</v>
      </c>
      <c r="C10" s="750" t="s">
        <v>72</v>
      </c>
      <c r="D10" s="213" t="s">
        <v>7</v>
      </c>
      <c r="E10" s="930" t="s">
        <v>4</v>
      </c>
      <c r="F10" s="43" t="e">
        <f t="shared" ref="F10:F32" si="2">VLOOKUP(E10,$Y$8:$Z$9,2,FALSE)</f>
        <v>#N/A</v>
      </c>
      <c r="G10" s="373">
        <v>6</v>
      </c>
      <c r="H10" s="373">
        <v>15</v>
      </c>
      <c r="I10" s="373">
        <v>9</v>
      </c>
      <c r="J10" s="373"/>
      <c r="K10" s="373"/>
      <c r="L10" s="374"/>
      <c r="M10" s="374"/>
      <c r="N10" s="914"/>
      <c r="O10" s="752">
        <f t="shared" ref="O10:O57" si="3">(G10*10)+(H10*10)+(I10*9)+(J10*8)+(K10*7)+(L10*6)+(M10*5)</f>
        <v>291</v>
      </c>
      <c r="P10" s="879">
        <f>SUM(G10:N10)</f>
        <v>30</v>
      </c>
      <c r="Q10" s="150"/>
      <c r="R10" s="197" t="str">
        <f>IF(O10&gt;297,"Yes","NO")</f>
        <v>NO</v>
      </c>
      <c r="S10" s="369" t="str">
        <f>IF(R10="yes","HM","")</f>
        <v/>
      </c>
      <c r="T10" s="157" t="str">
        <f>IF(O10=0," ",IF(P10&lt;&gt;30,"ERROR!"," "))</f>
        <v xml:space="preserve"> </v>
      </c>
    </row>
    <row r="11" spans="1:20" ht="18.75">
      <c r="A11" s="29" t="s">
        <v>108</v>
      </c>
      <c r="B11" s="207">
        <v>169</v>
      </c>
      <c r="C11" s="73" t="s">
        <v>206</v>
      </c>
      <c r="D11" s="154" t="s">
        <v>7</v>
      </c>
      <c r="E11" s="50" t="s">
        <v>4</v>
      </c>
      <c r="F11" s="51" t="e">
        <f t="shared" si="2"/>
        <v>#N/A</v>
      </c>
      <c r="G11" s="363">
        <v>9</v>
      </c>
      <c r="H11" s="363">
        <v>11</v>
      </c>
      <c r="I11" s="363">
        <v>9</v>
      </c>
      <c r="J11" s="363">
        <v>1</v>
      </c>
      <c r="K11" s="363"/>
      <c r="L11" s="364"/>
      <c r="M11" s="364"/>
      <c r="N11" s="275"/>
      <c r="O11" s="246">
        <f t="shared" si="3"/>
        <v>289</v>
      </c>
      <c r="P11" s="263">
        <f>SUM(G11:N11)</f>
        <v>30</v>
      </c>
      <c r="Q11" s="150"/>
      <c r="R11" s="197" t="str">
        <f>IF(O11&gt;297,"Yes","NO")</f>
        <v>NO</v>
      </c>
      <c r="S11" s="369" t="str">
        <f>IF(R11="yes","HM","")</f>
        <v/>
      </c>
      <c r="T11" s="157" t="str">
        <f>IF(O11=0," ",IF(P11&lt;&gt;30,"ERROR!"," "))</f>
        <v xml:space="preserve"> </v>
      </c>
    </row>
    <row r="12" spans="1:20" ht="18.75">
      <c r="A12" s="29" t="s">
        <v>108</v>
      </c>
      <c r="B12" s="207">
        <v>2296</v>
      </c>
      <c r="C12" s="73" t="s">
        <v>31</v>
      </c>
      <c r="D12" s="154" t="s">
        <v>11</v>
      </c>
      <c r="E12" s="50" t="s">
        <v>4</v>
      </c>
      <c r="F12" s="51" t="e">
        <f t="shared" si="2"/>
        <v>#N/A</v>
      </c>
      <c r="G12" s="904">
        <v>4</v>
      </c>
      <c r="H12" s="904">
        <v>15</v>
      </c>
      <c r="I12" s="904">
        <v>9</v>
      </c>
      <c r="J12" s="904">
        <v>2</v>
      </c>
      <c r="K12" s="904">
        <v>0</v>
      </c>
      <c r="L12" s="904">
        <v>0</v>
      </c>
      <c r="M12" s="904">
        <v>0</v>
      </c>
      <c r="N12" s="913">
        <v>0</v>
      </c>
      <c r="O12" s="246">
        <f t="shared" si="3"/>
        <v>287</v>
      </c>
      <c r="P12" s="263">
        <f t="shared" ref="P12" si="4">SUM(G12:N12)</f>
        <v>30</v>
      </c>
      <c r="Q12" s="368"/>
      <c r="R12" s="197" t="str">
        <f t="shared" ref="R12" si="5">IF(O12&gt;297,"Yes","NO")</f>
        <v>NO</v>
      </c>
      <c r="S12" s="369"/>
      <c r="T12" s="157"/>
    </row>
    <row r="13" spans="1:20" ht="18.75">
      <c r="A13" s="29" t="s">
        <v>108</v>
      </c>
      <c r="B13" s="207">
        <v>1412</v>
      </c>
      <c r="C13" s="73" t="s">
        <v>42</v>
      </c>
      <c r="D13" s="154" t="s">
        <v>11</v>
      </c>
      <c r="E13" s="50" t="s">
        <v>4</v>
      </c>
      <c r="F13" s="51" t="e">
        <f t="shared" si="2"/>
        <v>#N/A</v>
      </c>
      <c r="G13" s="899">
        <v>3</v>
      </c>
      <c r="H13" s="899">
        <v>13</v>
      </c>
      <c r="I13" s="899">
        <v>13</v>
      </c>
      <c r="J13" s="899">
        <v>1</v>
      </c>
      <c r="K13" s="899">
        <v>0</v>
      </c>
      <c r="L13" s="899">
        <v>0</v>
      </c>
      <c r="M13" s="899">
        <v>0</v>
      </c>
      <c r="N13" s="899">
        <v>0</v>
      </c>
      <c r="O13" s="246">
        <f t="shared" si="3"/>
        <v>285</v>
      </c>
      <c r="P13" s="263">
        <f>SUM(G13:N13)</f>
        <v>30</v>
      </c>
      <c r="Q13" s="368"/>
      <c r="R13" s="197" t="str">
        <f>IF(O13&gt;297,"Yes","NO")</f>
        <v>NO</v>
      </c>
      <c r="S13" s="369" t="str">
        <f>IF(R13="yes","HM","")</f>
        <v/>
      </c>
      <c r="T13" s="157" t="str">
        <f>IF(O13=0," ",IF(P13&lt;&gt;30,"ERROR!"," "))</f>
        <v xml:space="preserve"> </v>
      </c>
    </row>
    <row r="14" spans="1:20" ht="18.75">
      <c r="A14" s="29" t="s">
        <v>108</v>
      </c>
      <c r="B14" s="207">
        <v>1477</v>
      </c>
      <c r="C14" s="375" t="s">
        <v>268</v>
      </c>
      <c r="D14" s="154" t="s">
        <v>14</v>
      </c>
      <c r="E14" s="50" t="s">
        <v>4</v>
      </c>
      <c r="F14" s="51" t="e">
        <f t="shared" si="2"/>
        <v>#N/A</v>
      </c>
      <c r="G14" s="373">
        <v>5</v>
      </c>
      <c r="H14" s="373">
        <v>11</v>
      </c>
      <c r="I14" s="373">
        <v>11</v>
      </c>
      <c r="J14" s="373">
        <v>3</v>
      </c>
      <c r="K14" s="373"/>
      <c r="L14" s="374"/>
      <c r="M14" s="374"/>
      <c r="N14" s="914"/>
      <c r="O14" s="246">
        <f t="shared" si="3"/>
        <v>283</v>
      </c>
      <c r="P14" s="263">
        <f>SUM(G14:N14)</f>
        <v>30</v>
      </c>
      <c r="Q14" s="368"/>
      <c r="R14" s="197" t="str">
        <f>IF(O14&gt;297,"Yes","NO")</f>
        <v>NO</v>
      </c>
      <c r="S14" s="369" t="str">
        <f>IF(R14="yes","HM","")</f>
        <v/>
      </c>
      <c r="T14" s="157" t="str">
        <f>IF(O14=0," ",IF(P14&lt;&gt;30,"ERROR!"," "))</f>
        <v xml:space="preserve"> </v>
      </c>
    </row>
    <row r="15" spans="1:20" ht="18.75">
      <c r="A15" s="29" t="s">
        <v>108</v>
      </c>
      <c r="B15" s="207">
        <v>2105</v>
      </c>
      <c r="C15" s="73" t="s">
        <v>227</v>
      </c>
      <c r="D15" s="154" t="s">
        <v>11</v>
      </c>
      <c r="E15" s="50" t="s">
        <v>4</v>
      </c>
      <c r="F15" s="51" t="e">
        <f t="shared" si="2"/>
        <v>#N/A</v>
      </c>
      <c r="G15" s="899">
        <v>8</v>
      </c>
      <c r="H15" s="899">
        <v>7</v>
      </c>
      <c r="I15" s="899">
        <v>12</v>
      </c>
      <c r="J15" s="899">
        <v>3</v>
      </c>
      <c r="K15" s="899">
        <v>0</v>
      </c>
      <c r="L15" s="899">
        <v>0</v>
      </c>
      <c r="M15" s="899">
        <v>0</v>
      </c>
      <c r="N15" s="904">
        <v>0</v>
      </c>
      <c r="O15" s="246">
        <f t="shared" si="3"/>
        <v>282</v>
      </c>
      <c r="P15" s="263">
        <f>SUM(G15:N15)</f>
        <v>30</v>
      </c>
      <c r="Q15" s="368"/>
      <c r="R15" s="197" t="str">
        <f>IF(O15&gt;297,"Yes","NO")</f>
        <v>NO</v>
      </c>
      <c r="S15" s="370"/>
      <c r="T15" s="157"/>
    </row>
    <row r="16" spans="1:20" ht="18.75">
      <c r="A16" s="29" t="s">
        <v>108</v>
      </c>
      <c r="B16" s="207">
        <v>1809</v>
      </c>
      <c r="C16" s="73" t="s">
        <v>36</v>
      </c>
      <c r="D16" s="154" t="s">
        <v>9</v>
      </c>
      <c r="E16" s="50" t="s">
        <v>4</v>
      </c>
      <c r="F16" s="51" t="e">
        <f t="shared" si="2"/>
        <v>#N/A</v>
      </c>
      <c r="G16" s="363">
        <v>6</v>
      </c>
      <c r="H16" s="363">
        <v>11</v>
      </c>
      <c r="I16" s="363">
        <v>7</v>
      </c>
      <c r="J16" s="363">
        <v>6</v>
      </c>
      <c r="K16" s="363"/>
      <c r="L16" s="364"/>
      <c r="M16" s="364"/>
      <c r="N16" s="275"/>
      <c r="O16" s="246">
        <f t="shared" si="3"/>
        <v>281</v>
      </c>
      <c r="P16" s="263">
        <f t="shared" ref="P16" si="6">SUM(G16:N16)</f>
        <v>30</v>
      </c>
      <c r="Q16" s="368"/>
      <c r="R16" s="197" t="str">
        <f t="shared" ref="R16" si="7">IF(O16&gt;297,"Yes","NO")</f>
        <v>NO</v>
      </c>
      <c r="S16" s="370"/>
      <c r="T16" s="157"/>
    </row>
    <row r="17" spans="1:20" ht="18.75">
      <c r="A17" s="29" t="s">
        <v>108</v>
      </c>
      <c r="B17" s="207">
        <v>709</v>
      </c>
      <c r="C17" s="73" t="s">
        <v>71</v>
      </c>
      <c r="D17" s="154" t="s">
        <v>9</v>
      </c>
      <c r="E17" s="50" t="s">
        <v>4</v>
      </c>
      <c r="F17" s="51" t="e">
        <f t="shared" si="2"/>
        <v>#N/A</v>
      </c>
      <c r="G17" s="363">
        <v>6</v>
      </c>
      <c r="H17" s="363">
        <v>9</v>
      </c>
      <c r="I17" s="363">
        <v>11</v>
      </c>
      <c r="J17" s="363">
        <v>3</v>
      </c>
      <c r="K17" s="363">
        <v>1</v>
      </c>
      <c r="L17" s="364"/>
      <c r="M17" s="364"/>
      <c r="N17" s="275"/>
      <c r="O17" s="246">
        <f t="shared" si="3"/>
        <v>280</v>
      </c>
      <c r="P17" s="263">
        <f>SUM(G17:N17)</f>
        <v>30</v>
      </c>
      <c r="Q17" s="368"/>
      <c r="R17" s="197" t="str">
        <f>IF(O17&gt;297,"Yes","NO")</f>
        <v>NO</v>
      </c>
      <c r="S17" s="370"/>
      <c r="T17" s="157"/>
    </row>
    <row r="18" spans="1:20" ht="18.75">
      <c r="A18" s="29" t="s">
        <v>108</v>
      </c>
      <c r="B18" s="207">
        <v>3623</v>
      </c>
      <c r="C18" s="73" t="s">
        <v>102</v>
      </c>
      <c r="D18" s="154" t="s">
        <v>7</v>
      </c>
      <c r="E18" s="50" t="s">
        <v>4</v>
      </c>
      <c r="F18" s="51" t="e">
        <f t="shared" si="2"/>
        <v>#N/A</v>
      </c>
      <c r="G18" s="363">
        <v>4</v>
      </c>
      <c r="H18" s="363">
        <v>9</v>
      </c>
      <c r="I18" s="363">
        <v>13</v>
      </c>
      <c r="J18" s="363">
        <v>4</v>
      </c>
      <c r="K18" s="363"/>
      <c r="L18" s="364"/>
      <c r="M18" s="364"/>
      <c r="N18" s="275"/>
      <c r="O18" s="246">
        <f t="shared" si="3"/>
        <v>279</v>
      </c>
      <c r="P18" s="263">
        <f t="shared" ref="P18" si="8">SUM(G18:N18)</f>
        <v>30</v>
      </c>
      <c r="Q18" s="368"/>
      <c r="R18" s="197" t="str">
        <f t="shared" ref="R18" si="9">IF(O18&gt;297,"Yes","NO")</f>
        <v>NO</v>
      </c>
      <c r="S18" s="370"/>
      <c r="T18" s="157"/>
    </row>
    <row r="19" spans="1:20" ht="18.75">
      <c r="A19" s="29" t="s">
        <v>108</v>
      </c>
      <c r="B19" s="207">
        <v>2138</v>
      </c>
      <c r="C19" s="73" t="s">
        <v>56</v>
      </c>
      <c r="D19" s="154" t="s">
        <v>9</v>
      </c>
      <c r="E19" s="50" t="s">
        <v>4</v>
      </c>
      <c r="F19" s="51" t="e">
        <f t="shared" si="2"/>
        <v>#N/A</v>
      </c>
      <c r="G19" s="363">
        <v>4</v>
      </c>
      <c r="H19" s="363">
        <v>12</v>
      </c>
      <c r="I19" s="363">
        <v>9</v>
      </c>
      <c r="J19" s="363">
        <v>2</v>
      </c>
      <c r="K19" s="363">
        <v>3</v>
      </c>
      <c r="L19" s="364"/>
      <c r="M19" s="364"/>
      <c r="N19" s="275"/>
      <c r="O19" s="246">
        <f t="shared" si="3"/>
        <v>278</v>
      </c>
      <c r="P19" s="263">
        <f t="shared" ref="P19" si="10">SUM(G19:N19)</f>
        <v>30</v>
      </c>
      <c r="Q19" s="368"/>
      <c r="R19" s="197" t="str">
        <f>IF(O19&gt;297,"Yes","NO")</f>
        <v>NO</v>
      </c>
      <c r="S19" s="370"/>
      <c r="T19" s="157"/>
    </row>
    <row r="20" spans="1:20" ht="18.75">
      <c r="A20" s="29" t="s">
        <v>108</v>
      </c>
      <c r="B20" s="207">
        <v>1268</v>
      </c>
      <c r="C20" s="73" t="s">
        <v>202</v>
      </c>
      <c r="D20" s="154" t="s">
        <v>9</v>
      </c>
      <c r="E20" s="50" t="s">
        <v>4</v>
      </c>
      <c r="F20" s="51" t="e">
        <f t="shared" si="2"/>
        <v>#N/A</v>
      </c>
      <c r="G20" s="363">
        <v>2</v>
      </c>
      <c r="H20" s="363">
        <v>9</v>
      </c>
      <c r="I20" s="363">
        <v>16</v>
      </c>
      <c r="J20" s="363">
        <v>3</v>
      </c>
      <c r="K20" s="363"/>
      <c r="L20" s="364"/>
      <c r="M20" s="364"/>
      <c r="N20" s="275"/>
      <c r="O20" s="246">
        <f t="shared" si="3"/>
        <v>278</v>
      </c>
      <c r="P20" s="753">
        <f>SUM(G20:N20)</f>
        <v>30</v>
      </c>
      <c r="Q20" s="54"/>
      <c r="R20" s="197" t="str">
        <f>IF(O20&gt;294,"Yes","NO")</f>
        <v>NO</v>
      </c>
      <c r="S20" s="369"/>
      <c r="T20" s="157"/>
    </row>
    <row r="21" spans="1:20" ht="18.75">
      <c r="A21" s="29" t="s">
        <v>108</v>
      </c>
      <c r="B21" s="207">
        <v>1569</v>
      </c>
      <c r="C21" s="375" t="s">
        <v>220</v>
      </c>
      <c r="D21" s="154" t="s">
        <v>9</v>
      </c>
      <c r="E21" s="50" t="s">
        <v>4</v>
      </c>
      <c r="F21" s="51" t="e">
        <f t="shared" si="2"/>
        <v>#N/A</v>
      </c>
      <c r="G21" s="363">
        <v>3</v>
      </c>
      <c r="H21" s="363">
        <v>8</v>
      </c>
      <c r="I21" s="363">
        <v>16</v>
      </c>
      <c r="J21" s="363">
        <v>3</v>
      </c>
      <c r="K21" s="363"/>
      <c r="L21" s="364"/>
      <c r="M21" s="364"/>
      <c r="N21" s="275"/>
      <c r="O21" s="246">
        <f t="shared" si="3"/>
        <v>278</v>
      </c>
      <c r="P21" s="263">
        <f t="shared" ref="P21:P55" si="11">SUM(G21:N21)</f>
        <v>30</v>
      </c>
      <c r="Q21" s="368"/>
      <c r="R21" s="197" t="str">
        <f>IF(O21&gt;297,"Yes","NO")</f>
        <v>NO</v>
      </c>
      <c r="S21" s="370"/>
      <c r="T21" s="157"/>
    </row>
    <row r="22" spans="1:20" ht="18.75">
      <c r="A22" s="29" t="s">
        <v>108</v>
      </c>
      <c r="B22" s="207">
        <v>676</v>
      </c>
      <c r="C22" s="73" t="s">
        <v>229</v>
      </c>
      <c r="D22" s="154" t="s">
        <v>11</v>
      </c>
      <c r="E22" s="50" t="s">
        <v>4</v>
      </c>
      <c r="F22" s="51" t="e">
        <f t="shared" si="2"/>
        <v>#N/A</v>
      </c>
      <c r="G22" s="904">
        <v>4</v>
      </c>
      <c r="H22" s="904">
        <v>8</v>
      </c>
      <c r="I22" s="904">
        <v>13</v>
      </c>
      <c r="J22" s="904">
        <v>3</v>
      </c>
      <c r="K22" s="904">
        <v>1</v>
      </c>
      <c r="L22" s="904">
        <v>0</v>
      </c>
      <c r="M22" s="904">
        <v>0</v>
      </c>
      <c r="N22" s="913">
        <v>1</v>
      </c>
      <c r="O22" s="246">
        <f t="shared" si="3"/>
        <v>268</v>
      </c>
      <c r="P22" s="263">
        <f t="shared" ref="P22:P23" si="12">SUM(G22:N22)</f>
        <v>30</v>
      </c>
      <c r="Q22" s="1207"/>
      <c r="R22" s="197" t="str">
        <f>IF(O22&gt;297,"Yes","NO")</f>
        <v>NO</v>
      </c>
      <c r="S22" s="370"/>
      <c r="T22" s="157"/>
    </row>
    <row r="23" spans="1:20" ht="18.75">
      <c r="A23" s="29" t="s">
        <v>108</v>
      </c>
      <c r="B23" s="207">
        <v>2144</v>
      </c>
      <c r="C23" s="73" t="s">
        <v>82</v>
      </c>
      <c r="D23" s="154" t="s">
        <v>14</v>
      </c>
      <c r="E23" s="50" t="s">
        <v>4</v>
      </c>
      <c r="F23" s="51" t="e">
        <f t="shared" si="2"/>
        <v>#N/A</v>
      </c>
      <c r="G23" s="910">
        <v>3</v>
      </c>
      <c r="H23" s="910">
        <v>5</v>
      </c>
      <c r="I23" s="910">
        <v>13</v>
      </c>
      <c r="J23" s="910">
        <v>8</v>
      </c>
      <c r="K23" s="910">
        <v>1</v>
      </c>
      <c r="L23" s="910"/>
      <c r="M23" s="910"/>
      <c r="N23" s="911"/>
      <c r="O23" s="246">
        <f t="shared" si="3"/>
        <v>268</v>
      </c>
      <c r="P23" s="263">
        <f t="shared" si="12"/>
        <v>30</v>
      </c>
      <c r="Q23" s="1207"/>
      <c r="R23" s="202" t="str">
        <f>IF(O23&gt;297,"Yes","NO")</f>
        <v>NO</v>
      </c>
      <c r="S23" s="370"/>
      <c r="T23" s="157"/>
    </row>
    <row r="24" spans="1:20" ht="19.5" thickBot="1">
      <c r="A24" s="29" t="s">
        <v>108</v>
      </c>
      <c r="B24" s="207">
        <v>42</v>
      </c>
      <c r="C24" s="375" t="s">
        <v>259</v>
      </c>
      <c r="D24" s="154" t="s">
        <v>2</v>
      </c>
      <c r="E24" s="50" t="s">
        <v>4</v>
      </c>
      <c r="F24" s="51" t="e">
        <f t="shared" si="2"/>
        <v>#N/A</v>
      </c>
      <c r="G24" s="363">
        <v>1</v>
      </c>
      <c r="H24" s="363">
        <v>5</v>
      </c>
      <c r="I24" s="363">
        <v>13</v>
      </c>
      <c r="J24" s="363">
        <v>10</v>
      </c>
      <c r="K24" s="363">
        <v>1</v>
      </c>
      <c r="L24" s="364"/>
      <c r="M24" s="364"/>
      <c r="N24" s="275"/>
      <c r="O24" s="246">
        <f t="shared" si="3"/>
        <v>264</v>
      </c>
      <c r="P24" s="263">
        <f t="shared" si="11"/>
        <v>30</v>
      </c>
      <c r="Q24" s="151"/>
      <c r="R24" s="202" t="str">
        <f>IF(O24&gt;294,"Yes","NO")</f>
        <v>NO</v>
      </c>
      <c r="S24" s="370" t="str">
        <f>IF(R24="yes","M","")</f>
        <v/>
      </c>
      <c r="T24" s="157" t="str">
        <f>IF(O24=0," ",IF(P24&lt;&gt;30,"ERROR!"," "))</f>
        <v xml:space="preserve"> </v>
      </c>
    </row>
    <row r="25" spans="1:20" ht="18.75">
      <c r="A25" s="29" t="s">
        <v>108</v>
      </c>
      <c r="B25" s="272">
        <v>1143</v>
      </c>
      <c r="C25" s="64" t="s">
        <v>59</v>
      </c>
      <c r="D25" s="177" t="s">
        <v>9</v>
      </c>
      <c r="E25" s="32" t="s">
        <v>6</v>
      </c>
      <c r="F25" s="33" t="e">
        <f t="shared" si="2"/>
        <v>#N/A</v>
      </c>
      <c r="G25" s="360">
        <v>4</v>
      </c>
      <c r="H25" s="360">
        <v>13</v>
      </c>
      <c r="I25" s="360">
        <v>10</v>
      </c>
      <c r="J25" s="360">
        <v>3</v>
      </c>
      <c r="K25" s="360"/>
      <c r="L25" s="361"/>
      <c r="M25" s="361"/>
      <c r="N25" s="273"/>
      <c r="O25" s="240">
        <f t="shared" si="3"/>
        <v>284</v>
      </c>
      <c r="P25" s="1043">
        <f t="shared" si="11"/>
        <v>30</v>
      </c>
      <c r="Q25" s="770"/>
      <c r="R25" s="54" t="str">
        <f>IF(O25&gt;294,"Yes","NO")</f>
        <v>NO</v>
      </c>
      <c r="S25" s="95"/>
      <c r="T25" s="157"/>
    </row>
    <row r="26" spans="1:20" ht="18.75">
      <c r="A26" s="29" t="s">
        <v>108</v>
      </c>
      <c r="B26" s="207">
        <v>1956</v>
      </c>
      <c r="C26" s="73" t="s">
        <v>47</v>
      </c>
      <c r="D26" s="154" t="s">
        <v>11</v>
      </c>
      <c r="E26" s="50" t="s">
        <v>6</v>
      </c>
      <c r="F26" s="51" t="e">
        <f t="shared" si="2"/>
        <v>#N/A</v>
      </c>
      <c r="G26" s="904">
        <v>2</v>
      </c>
      <c r="H26" s="904">
        <v>11</v>
      </c>
      <c r="I26" s="904">
        <v>15</v>
      </c>
      <c r="J26" s="904">
        <v>0</v>
      </c>
      <c r="K26" s="904">
        <v>2</v>
      </c>
      <c r="L26" s="904">
        <v>0</v>
      </c>
      <c r="M26" s="904">
        <v>0</v>
      </c>
      <c r="N26" s="913">
        <v>0</v>
      </c>
      <c r="O26" s="246">
        <f t="shared" si="3"/>
        <v>279</v>
      </c>
      <c r="P26" s="310">
        <f t="shared" si="11"/>
        <v>30</v>
      </c>
      <c r="Q26" s="770"/>
      <c r="R26" s="54" t="str">
        <f>IF(O26&gt;294,"Yes","NO")</f>
        <v>NO</v>
      </c>
      <c r="S26" s="95"/>
      <c r="T26" s="157"/>
    </row>
    <row r="27" spans="1:20" ht="18.75">
      <c r="A27" s="29" t="s">
        <v>108</v>
      </c>
      <c r="B27" s="207">
        <v>1750</v>
      </c>
      <c r="C27" s="73" t="s">
        <v>226</v>
      </c>
      <c r="D27" s="154" t="s">
        <v>11</v>
      </c>
      <c r="E27" s="50" t="s">
        <v>6</v>
      </c>
      <c r="F27" s="51" t="e">
        <f t="shared" si="2"/>
        <v>#N/A</v>
      </c>
      <c r="G27" s="904">
        <v>4</v>
      </c>
      <c r="H27" s="904">
        <v>10</v>
      </c>
      <c r="I27" s="904">
        <v>11</v>
      </c>
      <c r="J27" s="904">
        <v>4</v>
      </c>
      <c r="K27" s="904">
        <v>1</v>
      </c>
      <c r="L27" s="904">
        <v>0</v>
      </c>
      <c r="M27" s="904">
        <v>0</v>
      </c>
      <c r="N27" s="913">
        <v>0</v>
      </c>
      <c r="O27" s="246">
        <f t="shared" si="3"/>
        <v>278</v>
      </c>
      <c r="P27" s="310">
        <f t="shared" si="11"/>
        <v>30</v>
      </c>
      <c r="Q27" s="770"/>
      <c r="R27" s="54" t="str">
        <f>IF(O27&gt;294,"Yes","NO")</f>
        <v>NO</v>
      </c>
      <c r="S27" s="95"/>
      <c r="T27" s="157"/>
    </row>
    <row r="28" spans="1:20" ht="18.75">
      <c r="A28" s="29" t="s">
        <v>108</v>
      </c>
      <c r="B28" s="207">
        <v>641</v>
      </c>
      <c r="C28" s="73" t="s">
        <v>55</v>
      </c>
      <c r="D28" s="154" t="s">
        <v>14</v>
      </c>
      <c r="E28" s="50" t="s">
        <v>6</v>
      </c>
      <c r="F28" s="51" t="e">
        <f t="shared" si="2"/>
        <v>#N/A</v>
      </c>
      <c r="G28" s="363">
        <v>4</v>
      </c>
      <c r="H28" s="363">
        <v>9</v>
      </c>
      <c r="I28" s="363">
        <v>13</v>
      </c>
      <c r="J28" s="363">
        <v>3</v>
      </c>
      <c r="K28" s="363">
        <v>1</v>
      </c>
      <c r="L28" s="364"/>
      <c r="M28" s="364"/>
      <c r="N28" s="275"/>
      <c r="O28" s="246">
        <f t="shared" si="3"/>
        <v>278</v>
      </c>
      <c r="P28" s="310">
        <f t="shared" si="11"/>
        <v>30</v>
      </c>
      <c r="Q28" s="368"/>
      <c r="R28" s="197" t="str">
        <f>IF(O28&gt;297,"Yes","NO")</f>
        <v>NO</v>
      </c>
      <c r="S28" s="370"/>
      <c r="T28" s="157"/>
    </row>
    <row r="29" spans="1:20" ht="18.75">
      <c r="A29" s="29" t="s">
        <v>108</v>
      </c>
      <c r="B29" s="207">
        <v>706</v>
      </c>
      <c r="C29" s="73" t="s">
        <v>70</v>
      </c>
      <c r="D29" s="154" t="s">
        <v>9</v>
      </c>
      <c r="E29" s="50" t="s">
        <v>6</v>
      </c>
      <c r="F29" s="51" t="e">
        <f t="shared" si="2"/>
        <v>#N/A</v>
      </c>
      <c r="G29" s="373">
        <v>4</v>
      </c>
      <c r="H29" s="373">
        <v>9</v>
      </c>
      <c r="I29" s="373">
        <v>13</v>
      </c>
      <c r="J29" s="373">
        <v>3</v>
      </c>
      <c r="K29" s="373"/>
      <c r="L29" s="374">
        <v>1</v>
      </c>
      <c r="M29" s="374"/>
      <c r="N29" s="914"/>
      <c r="O29" s="246">
        <f t="shared" si="3"/>
        <v>277</v>
      </c>
      <c r="P29" s="310">
        <f t="shared" si="11"/>
        <v>30</v>
      </c>
      <c r="Q29" s="770"/>
      <c r="R29" s="54" t="str">
        <f t="shared" ref="R29:R36" si="13">IF(O29&gt;294,"Yes","NO")</f>
        <v>NO</v>
      </c>
      <c r="S29" s="95"/>
      <c r="T29" s="157"/>
    </row>
    <row r="30" spans="1:20" ht="18.75">
      <c r="A30" s="29" t="s">
        <v>108</v>
      </c>
      <c r="B30" s="207">
        <v>1264</v>
      </c>
      <c r="C30" s="73" t="s">
        <v>178</v>
      </c>
      <c r="D30" s="154" t="s">
        <v>7</v>
      </c>
      <c r="E30" s="50" t="s">
        <v>6</v>
      </c>
      <c r="F30" s="51" t="e">
        <f t="shared" si="2"/>
        <v>#N/A</v>
      </c>
      <c r="G30" s="363">
        <v>4</v>
      </c>
      <c r="H30" s="363">
        <v>10</v>
      </c>
      <c r="I30" s="363">
        <v>9</v>
      </c>
      <c r="J30" s="363">
        <v>4</v>
      </c>
      <c r="K30" s="363">
        <v>3</v>
      </c>
      <c r="L30" s="364"/>
      <c r="M30" s="364"/>
      <c r="N30" s="275"/>
      <c r="O30" s="246">
        <f t="shared" si="3"/>
        <v>274</v>
      </c>
      <c r="P30" s="310">
        <f t="shared" si="11"/>
        <v>30</v>
      </c>
      <c r="Q30" s="770"/>
      <c r="R30" s="54" t="str">
        <f t="shared" si="13"/>
        <v>NO</v>
      </c>
      <c r="S30" s="95"/>
      <c r="T30" s="157"/>
    </row>
    <row r="31" spans="1:20" ht="18.75">
      <c r="A31" s="29" t="s">
        <v>108</v>
      </c>
      <c r="B31" s="207">
        <v>2578</v>
      </c>
      <c r="C31" s="73" t="s">
        <v>44</v>
      </c>
      <c r="D31" s="154" t="s">
        <v>11</v>
      </c>
      <c r="E31" s="50" t="s">
        <v>6</v>
      </c>
      <c r="F31" s="51" t="e">
        <f t="shared" si="2"/>
        <v>#N/A</v>
      </c>
      <c r="G31" s="904">
        <v>6</v>
      </c>
      <c r="H31" s="904">
        <v>7</v>
      </c>
      <c r="I31" s="904">
        <v>11</v>
      </c>
      <c r="J31" s="904">
        <v>3</v>
      </c>
      <c r="K31" s="904">
        <v>3</v>
      </c>
      <c r="L31" s="904">
        <v>0</v>
      </c>
      <c r="M31" s="904">
        <v>0</v>
      </c>
      <c r="N31" s="913">
        <v>0</v>
      </c>
      <c r="O31" s="246">
        <f t="shared" si="3"/>
        <v>274</v>
      </c>
      <c r="P31" s="310">
        <f t="shared" si="11"/>
        <v>30</v>
      </c>
      <c r="Q31" s="770"/>
      <c r="R31" s="54" t="str">
        <f t="shared" si="13"/>
        <v>NO</v>
      </c>
      <c r="S31" s="95" t="str">
        <f>IF(R31="yes","M","")</f>
        <v/>
      </c>
      <c r="T31" s="157" t="str">
        <f>IF(O31=0," ",IF(P31&lt;&gt;30,"ERROR!"," "))</f>
        <v xml:space="preserve"> </v>
      </c>
    </row>
    <row r="32" spans="1:20" ht="18.75">
      <c r="A32" s="29" t="s">
        <v>108</v>
      </c>
      <c r="B32" s="207">
        <v>2218</v>
      </c>
      <c r="C32" s="73" t="s">
        <v>247</v>
      </c>
      <c r="D32" s="154" t="s">
        <v>7</v>
      </c>
      <c r="E32" s="50" t="s">
        <v>6</v>
      </c>
      <c r="F32" s="51" t="e">
        <f t="shared" si="2"/>
        <v>#N/A</v>
      </c>
      <c r="G32" s="373">
        <v>0</v>
      </c>
      <c r="H32" s="373">
        <v>6</v>
      </c>
      <c r="I32" s="373">
        <v>14</v>
      </c>
      <c r="J32" s="373">
        <v>9</v>
      </c>
      <c r="K32" s="373">
        <v>1</v>
      </c>
      <c r="L32" s="374"/>
      <c r="M32" s="374"/>
      <c r="N32" s="914"/>
      <c r="O32" s="246">
        <f t="shared" si="3"/>
        <v>265</v>
      </c>
      <c r="P32" s="310">
        <f t="shared" si="11"/>
        <v>30</v>
      </c>
      <c r="Q32" s="770"/>
      <c r="R32" s="54" t="str">
        <f t="shared" si="13"/>
        <v>NO</v>
      </c>
      <c r="S32" s="95"/>
      <c r="T32" s="157"/>
    </row>
    <row r="33" spans="1:20" ht="19.5" thickBot="1">
      <c r="A33" s="29" t="s">
        <v>108</v>
      </c>
      <c r="B33" s="290">
        <v>1263</v>
      </c>
      <c r="C33" s="111" t="s">
        <v>235</v>
      </c>
      <c r="D33" s="372" t="s">
        <v>11</v>
      </c>
      <c r="E33" s="1343" t="s">
        <v>6</v>
      </c>
      <c r="F33" s="60">
        <v>2</v>
      </c>
      <c r="G33" s="1344">
        <v>1</v>
      </c>
      <c r="H33" s="1344">
        <v>1</v>
      </c>
      <c r="I33" s="1344">
        <v>14</v>
      </c>
      <c r="J33" s="1344">
        <v>10</v>
      </c>
      <c r="K33" s="1344">
        <v>1</v>
      </c>
      <c r="L33" s="1344">
        <v>1</v>
      </c>
      <c r="M33" s="1344">
        <v>0</v>
      </c>
      <c r="N33" s="1344">
        <v>2</v>
      </c>
      <c r="O33" s="338">
        <f t="shared" si="3"/>
        <v>239</v>
      </c>
      <c r="P33" s="313">
        <f t="shared" si="11"/>
        <v>30</v>
      </c>
      <c r="Q33" s="54"/>
      <c r="R33" s="54" t="str">
        <f t="shared" si="13"/>
        <v>NO</v>
      </c>
      <c r="S33" s="95"/>
      <c r="T33" s="157"/>
    </row>
    <row r="34" spans="1:20" ht="18.75">
      <c r="A34" s="29" t="s">
        <v>108</v>
      </c>
      <c r="B34" s="281">
        <v>1982</v>
      </c>
      <c r="C34" s="40" t="s">
        <v>77</v>
      </c>
      <c r="D34" s="213" t="s">
        <v>14</v>
      </c>
      <c r="E34" s="42" t="s">
        <v>5</v>
      </c>
      <c r="F34" s="43" t="e">
        <f t="shared" ref="F34:F57" si="14">VLOOKUP(E34,$Y$8:$Z$9,2,FALSE)</f>
        <v>#N/A</v>
      </c>
      <c r="G34" s="373">
        <v>1</v>
      </c>
      <c r="H34" s="373">
        <v>12</v>
      </c>
      <c r="I34" s="373">
        <v>16</v>
      </c>
      <c r="J34" s="373">
        <v>1</v>
      </c>
      <c r="K34" s="373"/>
      <c r="L34" s="374"/>
      <c r="M34" s="374"/>
      <c r="N34" s="914"/>
      <c r="O34" s="752">
        <f t="shared" si="3"/>
        <v>282</v>
      </c>
      <c r="P34" s="754">
        <f t="shared" si="11"/>
        <v>30</v>
      </c>
      <c r="Q34" s="47"/>
      <c r="R34" s="135" t="str">
        <f t="shared" si="13"/>
        <v>NO</v>
      </c>
      <c r="S34" s="369" t="str">
        <f>IF(R34="yes","M","")</f>
        <v/>
      </c>
      <c r="T34" s="157" t="str">
        <f>IF(O34=0," ",IF(P34&lt;&gt;30,"ERROR!"," "))</f>
        <v xml:space="preserve"> </v>
      </c>
    </row>
    <row r="35" spans="1:20" ht="18.75">
      <c r="A35" s="29" t="s">
        <v>108</v>
      </c>
      <c r="B35" s="207">
        <v>1172</v>
      </c>
      <c r="C35" s="73" t="s">
        <v>256</v>
      </c>
      <c r="D35" s="154" t="s">
        <v>7</v>
      </c>
      <c r="E35" s="50" t="s">
        <v>5</v>
      </c>
      <c r="F35" s="51" t="e">
        <f t="shared" si="14"/>
        <v>#N/A</v>
      </c>
      <c r="G35" s="910">
        <v>6</v>
      </c>
      <c r="H35" s="910">
        <v>6</v>
      </c>
      <c r="I35" s="910">
        <v>17</v>
      </c>
      <c r="J35" s="910"/>
      <c r="K35" s="910">
        <v>1</v>
      </c>
      <c r="L35" s="910"/>
      <c r="M35" s="910"/>
      <c r="N35" s="911"/>
      <c r="O35" s="246">
        <f t="shared" si="3"/>
        <v>280</v>
      </c>
      <c r="P35" s="753">
        <f t="shared" si="11"/>
        <v>30</v>
      </c>
      <c r="Q35" s="54"/>
      <c r="R35" s="197" t="str">
        <f t="shared" si="13"/>
        <v>NO</v>
      </c>
      <c r="S35" s="369"/>
      <c r="T35" s="157"/>
    </row>
    <row r="36" spans="1:20" ht="18.75">
      <c r="A36" s="29" t="s">
        <v>108</v>
      </c>
      <c r="B36" s="207">
        <v>2582</v>
      </c>
      <c r="C36" s="375" t="s">
        <v>76</v>
      </c>
      <c r="D36" s="154" t="s">
        <v>11</v>
      </c>
      <c r="E36" s="50" t="s">
        <v>5</v>
      </c>
      <c r="F36" s="51" t="e">
        <f t="shared" si="14"/>
        <v>#N/A</v>
      </c>
      <c r="G36" s="904">
        <v>3</v>
      </c>
      <c r="H36" s="904">
        <v>9</v>
      </c>
      <c r="I36" s="904">
        <v>13</v>
      </c>
      <c r="J36" s="904">
        <v>4</v>
      </c>
      <c r="K36" s="904">
        <v>1</v>
      </c>
      <c r="L36" s="904">
        <v>0</v>
      </c>
      <c r="M36" s="904">
        <v>0</v>
      </c>
      <c r="N36" s="913">
        <v>0</v>
      </c>
      <c r="O36" s="246">
        <f t="shared" si="3"/>
        <v>276</v>
      </c>
      <c r="P36" s="753">
        <f t="shared" si="11"/>
        <v>30</v>
      </c>
      <c r="Q36" s="54"/>
      <c r="R36" s="197" t="str">
        <f t="shared" si="13"/>
        <v>NO</v>
      </c>
      <c r="S36" s="369" t="str">
        <f>IF(R36="yes","M","")</f>
        <v/>
      </c>
      <c r="T36" s="157" t="str">
        <f>IF(O36=0," ",IF(P36&lt;&gt;30,"ERROR!"," "))</f>
        <v xml:space="preserve"> </v>
      </c>
    </row>
    <row r="37" spans="1:20" ht="18.75">
      <c r="A37" s="29" t="s">
        <v>108</v>
      </c>
      <c r="B37" s="207">
        <v>1249</v>
      </c>
      <c r="C37" s="375" t="s">
        <v>218</v>
      </c>
      <c r="D37" s="154" t="s">
        <v>11</v>
      </c>
      <c r="E37" s="50" t="s">
        <v>5</v>
      </c>
      <c r="F37" s="51" t="e">
        <f t="shared" si="14"/>
        <v>#N/A</v>
      </c>
      <c r="G37" s="899">
        <v>4</v>
      </c>
      <c r="H37" s="899">
        <v>8</v>
      </c>
      <c r="I37" s="899">
        <v>10</v>
      </c>
      <c r="J37" s="899">
        <v>8</v>
      </c>
      <c r="K37" s="899">
        <v>0</v>
      </c>
      <c r="L37" s="899">
        <v>0</v>
      </c>
      <c r="M37" s="899">
        <v>0</v>
      </c>
      <c r="N37" s="899">
        <v>0</v>
      </c>
      <c r="O37" s="246">
        <f t="shared" si="3"/>
        <v>274</v>
      </c>
      <c r="P37" s="753">
        <f t="shared" si="11"/>
        <v>30</v>
      </c>
      <c r="Q37" s="54"/>
      <c r="R37" s="197" t="str">
        <f>IF(O37&gt;284,"Yes","NO")</f>
        <v>NO</v>
      </c>
      <c r="S37" s="71" t="str">
        <f>IF(R37="yes","G","")</f>
        <v/>
      </c>
      <c r="T37" s="157" t="str">
        <f>IF(O37=0," ",IF(P37&lt;&gt;30,"ERROR!"," "))</f>
        <v xml:space="preserve"> </v>
      </c>
    </row>
    <row r="38" spans="1:20" ht="18.75">
      <c r="A38" s="29" t="s">
        <v>108</v>
      </c>
      <c r="B38" s="207">
        <v>1764</v>
      </c>
      <c r="C38" s="375" t="s">
        <v>262</v>
      </c>
      <c r="D38" s="154" t="s">
        <v>14</v>
      </c>
      <c r="E38" s="50" t="s">
        <v>5</v>
      </c>
      <c r="F38" s="51" t="e">
        <f t="shared" si="14"/>
        <v>#N/A</v>
      </c>
      <c r="G38" s="373">
        <v>3</v>
      </c>
      <c r="H38" s="373">
        <v>7</v>
      </c>
      <c r="I38" s="373">
        <v>13</v>
      </c>
      <c r="J38" s="373">
        <v>6</v>
      </c>
      <c r="K38" s="373">
        <v>1</v>
      </c>
      <c r="L38" s="374"/>
      <c r="M38" s="374"/>
      <c r="N38" s="914"/>
      <c r="O38" s="246">
        <f t="shared" si="3"/>
        <v>272</v>
      </c>
      <c r="P38" s="753">
        <f t="shared" si="11"/>
        <v>30</v>
      </c>
      <c r="Q38" s="54"/>
      <c r="R38" s="197" t="str">
        <f t="shared" ref="R38:R54" si="15">IF(O38&gt;294,"Yes","NO")</f>
        <v>NO</v>
      </c>
      <c r="S38" s="369"/>
      <c r="T38" s="157"/>
    </row>
    <row r="39" spans="1:20" ht="18.75">
      <c r="A39" s="29" t="s">
        <v>108</v>
      </c>
      <c r="B39" s="207">
        <v>2202</v>
      </c>
      <c r="C39" s="375" t="s">
        <v>236</v>
      </c>
      <c r="D39" s="154" t="s">
        <v>11</v>
      </c>
      <c r="E39" s="50" t="s">
        <v>5</v>
      </c>
      <c r="F39" s="51" t="e">
        <f t="shared" si="14"/>
        <v>#N/A</v>
      </c>
      <c r="G39" s="899">
        <v>3</v>
      </c>
      <c r="H39" s="899">
        <v>4</v>
      </c>
      <c r="I39" s="899">
        <v>18</v>
      </c>
      <c r="J39" s="899">
        <v>4</v>
      </c>
      <c r="K39" s="899">
        <v>1</v>
      </c>
      <c r="L39" s="899">
        <v>0</v>
      </c>
      <c r="M39" s="899">
        <v>0</v>
      </c>
      <c r="N39" s="899">
        <v>0</v>
      </c>
      <c r="O39" s="246">
        <f t="shared" si="3"/>
        <v>271</v>
      </c>
      <c r="P39" s="753">
        <f t="shared" si="11"/>
        <v>30</v>
      </c>
      <c r="Q39" s="54"/>
      <c r="R39" s="197" t="str">
        <f t="shared" si="15"/>
        <v>NO</v>
      </c>
      <c r="S39" s="369" t="str">
        <f>IF(R39="yes","M","")</f>
        <v/>
      </c>
      <c r="T39" s="157" t="str">
        <f>IF(O39=0," ",IF(P39&lt;&gt;30,"ERROR!"," "))</f>
        <v xml:space="preserve"> </v>
      </c>
    </row>
    <row r="40" spans="1:20" ht="18.75">
      <c r="A40" s="29" t="s">
        <v>108</v>
      </c>
      <c r="B40" s="343">
        <v>2165</v>
      </c>
      <c r="C40" s="375" t="s">
        <v>63</v>
      </c>
      <c r="D40" s="73" t="s">
        <v>9</v>
      </c>
      <c r="E40" s="75" t="s">
        <v>5</v>
      </c>
      <c r="F40" s="76" t="e">
        <f t="shared" si="14"/>
        <v>#N/A</v>
      </c>
      <c r="G40" s="899">
        <v>0</v>
      </c>
      <c r="H40" s="899">
        <v>9</v>
      </c>
      <c r="I40" s="899">
        <v>13</v>
      </c>
      <c r="J40" s="899">
        <v>6</v>
      </c>
      <c r="K40" s="899">
        <v>2</v>
      </c>
      <c r="L40" s="899">
        <v>0</v>
      </c>
      <c r="M40" s="899">
        <v>0</v>
      </c>
      <c r="N40" s="899">
        <v>0</v>
      </c>
      <c r="O40" s="246">
        <f t="shared" si="3"/>
        <v>269</v>
      </c>
      <c r="P40" s="753">
        <f t="shared" si="11"/>
        <v>30</v>
      </c>
      <c r="Q40" s="54"/>
      <c r="R40" s="197" t="str">
        <f t="shared" si="15"/>
        <v>NO</v>
      </c>
      <c r="S40" s="369"/>
      <c r="T40" s="157"/>
    </row>
    <row r="41" spans="1:20" ht="18.75">
      <c r="A41" s="29" t="s">
        <v>108</v>
      </c>
      <c r="B41" s="207">
        <v>2337</v>
      </c>
      <c r="C41" s="375" t="s">
        <v>46</v>
      </c>
      <c r="D41" s="154" t="s">
        <v>11</v>
      </c>
      <c r="E41" s="50" t="s">
        <v>5</v>
      </c>
      <c r="F41" s="51" t="e">
        <f t="shared" si="14"/>
        <v>#N/A</v>
      </c>
      <c r="G41" s="904">
        <v>1</v>
      </c>
      <c r="H41" s="904">
        <v>10</v>
      </c>
      <c r="I41" s="904">
        <v>10</v>
      </c>
      <c r="J41" s="904">
        <v>5</v>
      </c>
      <c r="K41" s="904">
        <v>3</v>
      </c>
      <c r="L41" s="904">
        <v>1</v>
      </c>
      <c r="M41" s="904">
        <v>0</v>
      </c>
      <c r="N41" s="913">
        <v>0</v>
      </c>
      <c r="O41" s="246">
        <f t="shared" si="3"/>
        <v>267</v>
      </c>
      <c r="P41" s="753">
        <f t="shared" si="11"/>
        <v>30</v>
      </c>
      <c r="Q41" s="54"/>
      <c r="R41" s="197" t="str">
        <f t="shared" si="15"/>
        <v>NO</v>
      </c>
      <c r="S41" s="369"/>
      <c r="T41" s="157"/>
    </row>
    <row r="42" spans="1:20" ht="18.75">
      <c r="A42" s="29" t="s">
        <v>108</v>
      </c>
      <c r="B42" s="207">
        <v>2579</v>
      </c>
      <c r="C42" s="73" t="s">
        <v>223</v>
      </c>
      <c r="D42" s="154" t="s">
        <v>11</v>
      </c>
      <c r="E42" s="50" t="s">
        <v>5</v>
      </c>
      <c r="F42" s="51" t="e">
        <f t="shared" si="14"/>
        <v>#N/A</v>
      </c>
      <c r="G42" s="904">
        <v>4</v>
      </c>
      <c r="H42" s="904">
        <v>9</v>
      </c>
      <c r="I42" s="904">
        <v>11</v>
      </c>
      <c r="J42" s="904">
        <v>3</v>
      </c>
      <c r="K42" s="904">
        <v>1</v>
      </c>
      <c r="L42" s="904">
        <v>1</v>
      </c>
      <c r="M42" s="904">
        <v>0</v>
      </c>
      <c r="N42" s="913">
        <v>1</v>
      </c>
      <c r="O42" s="246">
        <f t="shared" si="3"/>
        <v>266</v>
      </c>
      <c r="P42" s="753">
        <f t="shared" si="11"/>
        <v>30</v>
      </c>
      <c r="Q42" s="54"/>
      <c r="R42" s="197" t="str">
        <f t="shared" si="15"/>
        <v>NO</v>
      </c>
      <c r="S42" s="369" t="str">
        <f>IF(R42="yes","M","")</f>
        <v/>
      </c>
      <c r="T42" s="157" t="str">
        <f>IF(O42=0," ",IF(P42&lt;&gt;30,"ERROR!"," "))</f>
        <v xml:space="preserve"> </v>
      </c>
    </row>
    <row r="43" spans="1:20" ht="18.75">
      <c r="A43" s="29" t="s">
        <v>108</v>
      </c>
      <c r="B43" s="281">
        <v>1050</v>
      </c>
      <c r="C43" s="40" t="s">
        <v>80</v>
      </c>
      <c r="D43" s="213" t="s">
        <v>9</v>
      </c>
      <c r="E43" s="42" t="s">
        <v>5</v>
      </c>
      <c r="F43" s="43" t="e">
        <f t="shared" si="14"/>
        <v>#N/A</v>
      </c>
      <c r="G43" s="373">
        <v>1</v>
      </c>
      <c r="H43" s="373">
        <v>6</v>
      </c>
      <c r="I43" s="373">
        <v>13</v>
      </c>
      <c r="J43" s="373">
        <v>8</v>
      </c>
      <c r="K43" s="373">
        <v>2</v>
      </c>
      <c r="L43" s="374"/>
      <c r="M43" s="374"/>
      <c r="N43" s="282"/>
      <c r="O43" s="246">
        <f t="shared" si="3"/>
        <v>265</v>
      </c>
      <c r="P43" s="753">
        <f t="shared" si="11"/>
        <v>30</v>
      </c>
      <c r="Q43" s="54"/>
      <c r="R43" s="197" t="str">
        <f t="shared" si="15"/>
        <v>NO</v>
      </c>
      <c r="S43" s="369"/>
      <c r="T43" s="157"/>
    </row>
    <row r="44" spans="1:20" ht="18.75">
      <c r="A44" s="29" t="s">
        <v>108</v>
      </c>
      <c r="B44" s="207">
        <v>1052</v>
      </c>
      <c r="C44" s="73" t="s">
        <v>75</v>
      </c>
      <c r="D44" s="154" t="s">
        <v>9</v>
      </c>
      <c r="E44" s="50" t="s">
        <v>5</v>
      </c>
      <c r="F44" s="51" t="e">
        <f t="shared" si="14"/>
        <v>#N/A</v>
      </c>
      <c r="G44" s="910">
        <v>2</v>
      </c>
      <c r="H44" s="910">
        <v>5</v>
      </c>
      <c r="I44" s="910">
        <v>12</v>
      </c>
      <c r="J44" s="910">
        <v>10</v>
      </c>
      <c r="K44" s="910"/>
      <c r="L44" s="910">
        <v>1</v>
      </c>
      <c r="M44" s="910"/>
      <c r="N44" s="911"/>
      <c r="O44" s="246">
        <f t="shared" si="3"/>
        <v>264</v>
      </c>
      <c r="P44" s="753">
        <f t="shared" si="11"/>
        <v>30</v>
      </c>
      <c r="Q44" s="54"/>
      <c r="R44" s="197" t="str">
        <f t="shared" si="15"/>
        <v>NO</v>
      </c>
      <c r="S44" s="369" t="str">
        <f>IF(R44="yes","M","")</f>
        <v/>
      </c>
      <c r="T44" s="157" t="str">
        <f>IF(O44=0," ",IF(P44&lt;&gt;30,"ERROR!"," "))</f>
        <v xml:space="preserve"> </v>
      </c>
    </row>
    <row r="45" spans="1:20" ht="18.75">
      <c r="A45" s="29" t="s">
        <v>108</v>
      </c>
      <c r="B45" s="207">
        <v>1850</v>
      </c>
      <c r="C45" s="375" t="s">
        <v>200</v>
      </c>
      <c r="D45" s="154" t="s">
        <v>9</v>
      </c>
      <c r="E45" s="50" t="s">
        <v>5</v>
      </c>
      <c r="F45" s="51" t="e">
        <f t="shared" si="14"/>
        <v>#N/A</v>
      </c>
      <c r="G45" s="363">
        <v>1</v>
      </c>
      <c r="H45" s="363">
        <v>6</v>
      </c>
      <c r="I45" s="363">
        <v>12</v>
      </c>
      <c r="J45" s="363">
        <v>8</v>
      </c>
      <c r="K45" s="363">
        <v>2</v>
      </c>
      <c r="L45" s="364">
        <v>1</v>
      </c>
      <c r="M45" s="364"/>
      <c r="N45" s="275"/>
      <c r="O45" s="246">
        <f t="shared" si="3"/>
        <v>262</v>
      </c>
      <c r="P45" s="753">
        <f t="shared" si="11"/>
        <v>30</v>
      </c>
      <c r="Q45" s="54"/>
      <c r="R45" s="197" t="str">
        <f t="shared" si="15"/>
        <v>NO</v>
      </c>
      <c r="S45" s="369" t="str">
        <f>IF(R45="yes","M","")</f>
        <v/>
      </c>
      <c r="T45" s="157" t="str">
        <f>IF(O45=0," ",IF(P45&lt;&gt;30,"ERROR!"," "))</f>
        <v xml:space="preserve"> </v>
      </c>
    </row>
    <row r="46" spans="1:20" ht="18.75">
      <c r="A46" s="29" t="s">
        <v>108</v>
      </c>
      <c r="B46" s="207">
        <v>2499</v>
      </c>
      <c r="C46" s="73" t="s">
        <v>269</v>
      </c>
      <c r="D46" s="154" t="s">
        <v>14</v>
      </c>
      <c r="E46" s="50" t="s">
        <v>5</v>
      </c>
      <c r="F46" s="51" t="e">
        <f t="shared" si="14"/>
        <v>#N/A</v>
      </c>
      <c r="G46" s="363">
        <v>1</v>
      </c>
      <c r="H46" s="363">
        <v>3</v>
      </c>
      <c r="I46" s="363">
        <v>15</v>
      </c>
      <c r="J46" s="363">
        <v>9</v>
      </c>
      <c r="K46" s="363"/>
      <c r="L46" s="364">
        <v>2</v>
      </c>
      <c r="M46" s="364"/>
      <c r="N46" s="275"/>
      <c r="O46" s="246">
        <f t="shared" si="3"/>
        <v>259</v>
      </c>
      <c r="P46" s="753">
        <f t="shared" si="11"/>
        <v>30</v>
      </c>
      <c r="Q46" s="54"/>
      <c r="R46" s="197" t="str">
        <f t="shared" si="15"/>
        <v>NO</v>
      </c>
      <c r="S46" s="369" t="str">
        <f>IF(R46="yes","M","")</f>
        <v/>
      </c>
      <c r="T46" s="157" t="str">
        <f>IF(O46=0," ",IF(P46&lt;&gt;30,"ERROR!"," "))</f>
        <v xml:space="preserve"> </v>
      </c>
    </row>
    <row r="47" spans="1:20" ht="18.75">
      <c r="A47" s="29" t="s">
        <v>108</v>
      </c>
      <c r="B47" s="207">
        <v>1687</v>
      </c>
      <c r="C47" s="73" t="s">
        <v>230</v>
      </c>
      <c r="D47" s="154" t="s">
        <v>11</v>
      </c>
      <c r="E47" s="50" t="s">
        <v>5</v>
      </c>
      <c r="F47" s="51" t="e">
        <f t="shared" si="14"/>
        <v>#N/A</v>
      </c>
      <c r="G47" s="904">
        <v>1</v>
      </c>
      <c r="H47" s="904">
        <v>4</v>
      </c>
      <c r="I47" s="904">
        <v>14</v>
      </c>
      <c r="J47" s="904">
        <v>7</v>
      </c>
      <c r="K47" s="904">
        <v>2</v>
      </c>
      <c r="L47" s="904">
        <v>2</v>
      </c>
      <c r="M47" s="904">
        <v>0</v>
      </c>
      <c r="N47" s="913">
        <v>0</v>
      </c>
      <c r="O47" s="246">
        <f t="shared" si="3"/>
        <v>258</v>
      </c>
      <c r="P47" s="753">
        <f t="shared" si="11"/>
        <v>30</v>
      </c>
      <c r="Q47" s="54"/>
      <c r="R47" s="197" t="str">
        <f t="shared" si="15"/>
        <v>NO</v>
      </c>
      <c r="S47" s="369" t="str">
        <f>IF(R47="yes","M","")</f>
        <v/>
      </c>
      <c r="T47" s="157" t="str">
        <f>IF(O47=0," ",IF(P47&lt;&gt;30,"ERROR!"," "))</f>
        <v xml:space="preserve"> </v>
      </c>
    </row>
    <row r="48" spans="1:20" ht="18.75">
      <c r="A48" s="29" t="s">
        <v>108</v>
      </c>
      <c r="B48" s="207">
        <v>888</v>
      </c>
      <c r="C48" s="73" t="s">
        <v>74</v>
      </c>
      <c r="D48" s="154" t="s">
        <v>9</v>
      </c>
      <c r="E48" s="50" t="s">
        <v>5</v>
      </c>
      <c r="F48" s="51" t="e">
        <f t="shared" si="14"/>
        <v>#N/A</v>
      </c>
      <c r="G48" s="910">
        <v>4</v>
      </c>
      <c r="H48" s="910">
        <v>4</v>
      </c>
      <c r="I48" s="910">
        <v>14</v>
      </c>
      <c r="J48" s="910">
        <v>4</v>
      </c>
      <c r="K48" s="910">
        <v>2</v>
      </c>
      <c r="L48" s="910">
        <v>1</v>
      </c>
      <c r="M48" s="910"/>
      <c r="N48" s="911">
        <v>1</v>
      </c>
      <c r="O48" s="246">
        <f t="shared" si="3"/>
        <v>258</v>
      </c>
      <c r="P48" s="753">
        <f t="shared" si="11"/>
        <v>30</v>
      </c>
      <c r="Q48" s="54"/>
      <c r="R48" s="197" t="str">
        <f t="shared" si="15"/>
        <v>NO</v>
      </c>
      <c r="S48" s="369" t="str">
        <f>IF(R48="yes","M","")</f>
        <v/>
      </c>
      <c r="T48" s="157" t="str">
        <f>IF(O48=0," ",IF(P48&lt;&gt;30,"ERROR!"," "))</f>
        <v xml:space="preserve"> </v>
      </c>
    </row>
    <row r="49" spans="1:20" ht="18.75">
      <c r="A49" s="29" t="s">
        <v>108</v>
      </c>
      <c r="B49" s="207">
        <v>2521</v>
      </c>
      <c r="C49" s="375" t="s">
        <v>211</v>
      </c>
      <c r="D49" s="154" t="s">
        <v>9</v>
      </c>
      <c r="E49" s="50" t="s">
        <v>5</v>
      </c>
      <c r="F49" s="51" t="e">
        <f t="shared" si="14"/>
        <v>#N/A</v>
      </c>
      <c r="G49" s="910">
        <v>1</v>
      </c>
      <c r="H49" s="910">
        <v>4</v>
      </c>
      <c r="I49" s="910">
        <v>13</v>
      </c>
      <c r="J49" s="910">
        <v>8</v>
      </c>
      <c r="K49" s="910">
        <v>2</v>
      </c>
      <c r="L49" s="910">
        <v>2</v>
      </c>
      <c r="M49" s="910"/>
      <c r="N49" s="911"/>
      <c r="O49" s="246">
        <f t="shared" si="3"/>
        <v>257</v>
      </c>
      <c r="P49" s="753">
        <f t="shared" si="11"/>
        <v>30</v>
      </c>
      <c r="Q49" s="54"/>
      <c r="R49" s="197" t="str">
        <f t="shared" si="15"/>
        <v>NO</v>
      </c>
      <c r="S49" s="369"/>
      <c r="T49" s="157"/>
    </row>
    <row r="50" spans="1:20" ht="18.75">
      <c r="A50" s="29" t="s">
        <v>108</v>
      </c>
      <c r="B50" s="207">
        <v>1952</v>
      </c>
      <c r="C50" s="73" t="s">
        <v>216</v>
      </c>
      <c r="D50" s="154" t="s">
        <v>7</v>
      </c>
      <c r="E50" s="50" t="s">
        <v>5</v>
      </c>
      <c r="F50" s="51" t="e">
        <f t="shared" si="14"/>
        <v>#N/A</v>
      </c>
      <c r="G50" s="1345">
        <v>4</v>
      </c>
      <c r="H50" s="1345">
        <v>6</v>
      </c>
      <c r="I50" s="1345">
        <v>12</v>
      </c>
      <c r="J50" s="1345">
        <v>5</v>
      </c>
      <c r="K50" s="1345">
        <v>1</v>
      </c>
      <c r="L50" s="1345"/>
      <c r="M50" s="1345"/>
      <c r="N50" s="903">
        <v>2</v>
      </c>
      <c r="O50" s="246">
        <f t="shared" si="3"/>
        <v>255</v>
      </c>
      <c r="P50" s="753">
        <f t="shared" si="11"/>
        <v>30</v>
      </c>
      <c r="Q50" s="54"/>
      <c r="R50" s="197" t="str">
        <f t="shared" si="15"/>
        <v>NO</v>
      </c>
      <c r="S50" s="369"/>
      <c r="T50" s="157"/>
    </row>
    <row r="51" spans="1:20" ht="18.75">
      <c r="A51" s="29" t="s">
        <v>108</v>
      </c>
      <c r="B51" s="207">
        <v>1983</v>
      </c>
      <c r="C51" s="73" t="s">
        <v>84</v>
      </c>
      <c r="D51" s="154" t="s">
        <v>14</v>
      </c>
      <c r="E51" s="50" t="s">
        <v>5</v>
      </c>
      <c r="F51" s="51" t="e">
        <f t="shared" si="14"/>
        <v>#N/A</v>
      </c>
      <c r="G51" s="363">
        <v>2</v>
      </c>
      <c r="H51" s="363">
        <v>4</v>
      </c>
      <c r="I51" s="363">
        <v>10</v>
      </c>
      <c r="J51" s="363">
        <v>12</v>
      </c>
      <c r="K51" s="363">
        <v>1</v>
      </c>
      <c r="L51" s="364"/>
      <c r="M51" s="364"/>
      <c r="N51" s="275">
        <v>1</v>
      </c>
      <c r="O51" s="246">
        <f t="shared" si="3"/>
        <v>253</v>
      </c>
      <c r="P51" s="753">
        <f t="shared" si="11"/>
        <v>30</v>
      </c>
      <c r="Q51" s="54"/>
      <c r="R51" s="197" t="str">
        <f t="shared" si="15"/>
        <v>NO</v>
      </c>
      <c r="S51" s="369"/>
      <c r="T51" s="157"/>
    </row>
    <row r="52" spans="1:20" ht="18.75">
      <c r="A52" s="29" t="s">
        <v>108</v>
      </c>
      <c r="B52" s="207">
        <v>1922</v>
      </c>
      <c r="C52" s="73" t="s">
        <v>224</v>
      </c>
      <c r="D52" s="154" t="s">
        <v>11</v>
      </c>
      <c r="E52" s="75" t="s">
        <v>5</v>
      </c>
      <c r="F52" s="51" t="e">
        <f t="shared" si="14"/>
        <v>#N/A</v>
      </c>
      <c r="G52" s="904">
        <v>3</v>
      </c>
      <c r="H52" s="904">
        <v>3</v>
      </c>
      <c r="I52" s="904">
        <v>7</v>
      </c>
      <c r="J52" s="904">
        <v>11</v>
      </c>
      <c r="K52" s="904">
        <v>3</v>
      </c>
      <c r="L52" s="904">
        <v>3</v>
      </c>
      <c r="M52" s="904">
        <v>0</v>
      </c>
      <c r="N52" s="913">
        <v>0</v>
      </c>
      <c r="O52" s="246">
        <f t="shared" si="3"/>
        <v>250</v>
      </c>
      <c r="P52" s="753">
        <f t="shared" si="11"/>
        <v>30</v>
      </c>
      <c r="Q52" s="54"/>
      <c r="R52" s="197" t="str">
        <f t="shared" si="15"/>
        <v>NO</v>
      </c>
      <c r="S52" s="369"/>
      <c r="T52" s="157"/>
    </row>
    <row r="53" spans="1:20" ht="18.75">
      <c r="A53" s="29" t="s">
        <v>108</v>
      </c>
      <c r="B53" s="207">
        <v>1244</v>
      </c>
      <c r="C53" s="375" t="s">
        <v>225</v>
      </c>
      <c r="D53" s="154" t="s">
        <v>11</v>
      </c>
      <c r="E53" s="50" t="s">
        <v>5</v>
      </c>
      <c r="F53" s="51" t="e">
        <f t="shared" si="14"/>
        <v>#N/A</v>
      </c>
      <c r="G53" s="904">
        <v>2</v>
      </c>
      <c r="H53" s="904">
        <v>5</v>
      </c>
      <c r="I53" s="904">
        <v>12</v>
      </c>
      <c r="J53" s="904">
        <v>4</v>
      </c>
      <c r="K53" s="904">
        <v>4</v>
      </c>
      <c r="L53" s="904">
        <v>1</v>
      </c>
      <c r="M53" s="904">
        <v>0</v>
      </c>
      <c r="N53" s="913">
        <v>2</v>
      </c>
      <c r="O53" s="246">
        <f t="shared" si="3"/>
        <v>244</v>
      </c>
      <c r="P53" s="753">
        <f t="shared" ref="P53" si="16">SUM(G53:N53)</f>
        <v>30</v>
      </c>
      <c r="Q53" s="424"/>
      <c r="R53" s="197" t="str">
        <f t="shared" ref="R53" si="17">IF(O53&gt;294,"Yes","NO")</f>
        <v>NO</v>
      </c>
      <c r="S53" s="369"/>
      <c r="T53" s="157"/>
    </row>
    <row r="54" spans="1:20" ht="18.75">
      <c r="A54" s="29" t="s">
        <v>108</v>
      </c>
      <c r="B54" s="207">
        <v>1615</v>
      </c>
      <c r="C54" s="73" t="s">
        <v>257</v>
      </c>
      <c r="D54" s="154" t="s">
        <v>14</v>
      </c>
      <c r="E54" s="50" t="s">
        <v>5</v>
      </c>
      <c r="F54" s="51" t="e">
        <f t="shared" si="14"/>
        <v>#N/A</v>
      </c>
      <c r="G54" s="363">
        <v>3</v>
      </c>
      <c r="H54" s="363">
        <v>5</v>
      </c>
      <c r="I54" s="363">
        <v>11</v>
      </c>
      <c r="J54" s="363">
        <v>5</v>
      </c>
      <c r="K54" s="363">
        <v>1</v>
      </c>
      <c r="L54" s="364"/>
      <c r="M54" s="364"/>
      <c r="N54" s="275">
        <v>5</v>
      </c>
      <c r="O54" s="246">
        <f t="shared" si="3"/>
        <v>226</v>
      </c>
      <c r="P54" s="753">
        <f t="shared" si="11"/>
        <v>30</v>
      </c>
      <c r="Q54" s="424"/>
      <c r="R54" s="197" t="str">
        <f t="shared" si="15"/>
        <v>NO</v>
      </c>
      <c r="S54" s="369"/>
      <c r="T54" s="157" t="str">
        <f t="shared" ref="T54" si="18">IF(O54=0," ",IF(P54&lt;&gt;30,"ERROR!"," "))</f>
        <v xml:space="preserve"> </v>
      </c>
    </row>
    <row r="55" spans="1:20" ht="18.75">
      <c r="A55" s="29" t="s">
        <v>108</v>
      </c>
      <c r="B55" s="207">
        <v>1054</v>
      </c>
      <c r="C55" s="73" t="s">
        <v>190</v>
      </c>
      <c r="D55" s="154" t="s">
        <v>9</v>
      </c>
      <c r="E55" s="50" t="s">
        <v>5</v>
      </c>
      <c r="F55" s="51" t="e">
        <f t="shared" si="14"/>
        <v>#N/A</v>
      </c>
      <c r="G55" s="363">
        <v>4</v>
      </c>
      <c r="H55" s="363">
        <v>5</v>
      </c>
      <c r="I55" s="363">
        <v>7</v>
      </c>
      <c r="J55" s="363">
        <v>6</v>
      </c>
      <c r="K55" s="363">
        <v>2</v>
      </c>
      <c r="L55" s="364">
        <v>1</v>
      </c>
      <c r="M55" s="364"/>
      <c r="N55" s="275">
        <v>5</v>
      </c>
      <c r="O55" s="246">
        <f t="shared" si="3"/>
        <v>221</v>
      </c>
      <c r="P55" s="753">
        <f t="shared" si="11"/>
        <v>30</v>
      </c>
      <c r="Q55" s="54"/>
      <c r="R55" s="197" t="str">
        <f>IF(O55&gt;284,"Yes","NO")</f>
        <v>NO</v>
      </c>
      <c r="S55" s="71"/>
      <c r="T55" s="157"/>
    </row>
    <row r="56" spans="1:20" ht="18.75">
      <c r="A56" s="29" t="s">
        <v>108</v>
      </c>
      <c r="B56" s="207">
        <v>1837</v>
      </c>
      <c r="C56" s="73" t="s">
        <v>244</v>
      </c>
      <c r="D56" s="154" t="s">
        <v>9</v>
      </c>
      <c r="E56" s="50" t="s">
        <v>5</v>
      </c>
      <c r="F56" s="51" t="e">
        <f t="shared" si="14"/>
        <v>#N/A</v>
      </c>
      <c r="G56" s="373">
        <v>0</v>
      </c>
      <c r="H56" s="373">
        <v>6</v>
      </c>
      <c r="I56" s="373">
        <v>8</v>
      </c>
      <c r="J56" s="373">
        <v>4</v>
      </c>
      <c r="K56" s="373">
        <v>4</v>
      </c>
      <c r="L56" s="374">
        <v>3</v>
      </c>
      <c r="M56" s="374"/>
      <c r="N56" s="914">
        <v>5</v>
      </c>
      <c r="O56" s="246">
        <f t="shared" si="3"/>
        <v>210</v>
      </c>
      <c r="P56" s="753">
        <f t="shared" ref="P56" si="19">SUM(G56:N56)</f>
        <v>30</v>
      </c>
      <c r="Q56" s="54"/>
      <c r="R56" s="197" t="str">
        <f t="shared" ref="R56" si="20">IF(O56&gt;284,"Yes","NO")</f>
        <v>NO</v>
      </c>
      <c r="S56" s="369"/>
      <c r="T56" s="56"/>
    </row>
    <row r="57" spans="1:20" ht="18.75">
      <c r="A57" s="29" t="s">
        <v>108</v>
      </c>
      <c r="B57" s="207">
        <v>1984</v>
      </c>
      <c r="C57" s="73" t="s">
        <v>81</v>
      </c>
      <c r="D57" s="154" t="s">
        <v>14</v>
      </c>
      <c r="E57" s="50" t="s">
        <v>5</v>
      </c>
      <c r="F57" s="51" t="e">
        <f t="shared" si="14"/>
        <v>#N/A</v>
      </c>
      <c r="G57" s="363">
        <v>0</v>
      </c>
      <c r="H57" s="363">
        <v>0</v>
      </c>
      <c r="I57" s="363">
        <v>3</v>
      </c>
      <c r="J57" s="363">
        <v>10</v>
      </c>
      <c r="K57" s="363">
        <v>9</v>
      </c>
      <c r="L57" s="364">
        <v>6</v>
      </c>
      <c r="M57" s="364"/>
      <c r="N57" s="275">
        <v>2</v>
      </c>
      <c r="O57" s="246">
        <f t="shared" si="3"/>
        <v>206</v>
      </c>
      <c r="P57" s="753">
        <f t="shared" ref="P57" si="21">SUM(G57:N57)</f>
        <v>30</v>
      </c>
      <c r="Q57" s="54"/>
      <c r="R57" s="197" t="str">
        <f t="shared" ref="R57" si="22">IF(O57&gt;284,"Yes","NO")</f>
        <v>NO</v>
      </c>
      <c r="S57" s="369"/>
      <c r="T57" s="56"/>
    </row>
    <row r="58" spans="1:20" ht="19.5" thickBot="1">
      <c r="A58" s="3"/>
      <c r="B58" s="231">
        <f>COUNT(B8:B57)</f>
        <v>50</v>
      </c>
      <c r="C58" s="1471" t="s">
        <v>32</v>
      </c>
      <c r="D58" s="1472"/>
      <c r="E58" s="1461" t="s">
        <v>106</v>
      </c>
      <c r="F58" s="1462"/>
      <c r="G58" s="1462"/>
      <c r="H58" s="1462"/>
      <c r="I58" s="1462"/>
      <c r="J58" s="1462"/>
      <c r="K58" s="1462"/>
      <c r="L58" s="1462"/>
      <c r="M58" s="1462"/>
      <c r="N58" s="1462"/>
      <c r="O58" s="1462"/>
      <c r="P58" s="1463"/>
      <c r="Q58" s="12"/>
      <c r="R58" s="12"/>
      <c r="S58" s="12"/>
      <c r="T58" s="12"/>
    </row>
    <row r="59" spans="1:20" ht="15.75">
      <c r="A59" s="3"/>
      <c r="B59" s="4"/>
      <c r="C59" s="376"/>
      <c r="D59" s="376"/>
      <c r="E59" s="351"/>
      <c r="F59" s="376"/>
      <c r="G59" s="377"/>
      <c r="H59" s="377"/>
      <c r="I59" s="377"/>
      <c r="J59" s="377"/>
      <c r="K59" s="377"/>
      <c r="L59" s="378"/>
      <c r="M59" s="379"/>
      <c r="N59" s="294"/>
      <c r="O59" s="380"/>
      <c r="P59" s="381"/>
      <c r="Q59" s="12"/>
      <c r="R59" s="12"/>
      <c r="S59" s="12"/>
      <c r="T59" s="12"/>
    </row>
  </sheetData>
  <sortState ref="B34:O57">
    <sortCondition descending="1" ref="O34"/>
  </sortState>
  <mergeCells count="6">
    <mergeCell ref="A2:S2"/>
    <mergeCell ref="B4:S4"/>
    <mergeCell ref="C6:O6"/>
    <mergeCell ref="R8:S9"/>
    <mergeCell ref="C58:D58"/>
    <mergeCell ref="E58:P5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8"/>
  <sheetViews>
    <sheetView topLeftCell="A4" workbookViewId="0">
      <selection activeCell="G15" sqref="G15"/>
    </sheetView>
  </sheetViews>
  <sheetFormatPr defaultRowHeight="15"/>
  <cols>
    <col min="1" max="1" width="6" customWidth="1"/>
    <col min="3" max="3" width="27" customWidth="1"/>
  </cols>
  <sheetData>
    <row r="1" spans="1:18" ht="15.75" thickBot="1"/>
    <row r="2" spans="1:18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1"/>
      <c r="R2" s="232"/>
    </row>
    <row r="3" spans="1:18" ht="16.5" thickBot="1">
      <c r="A3" s="3"/>
      <c r="B3" s="4"/>
      <c r="C3" s="5"/>
      <c r="D3" s="5"/>
      <c r="E3" s="6"/>
      <c r="F3" s="7"/>
      <c r="G3" s="7"/>
      <c r="H3" s="7"/>
      <c r="I3" s="7"/>
      <c r="J3" s="7"/>
      <c r="K3" s="8"/>
      <c r="L3" s="9"/>
      <c r="M3" s="8"/>
      <c r="N3" s="10"/>
      <c r="O3" s="11"/>
      <c r="P3" s="12"/>
      <c r="Q3" s="12"/>
      <c r="R3" s="12"/>
    </row>
    <row r="4" spans="1:18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4"/>
      <c r="R4" s="13"/>
    </row>
    <row r="5" spans="1:18" ht="16.5" thickBot="1">
      <c r="A5" s="3"/>
      <c r="B5" s="4"/>
      <c r="C5" s="5"/>
      <c r="D5" s="5"/>
      <c r="E5" s="6"/>
      <c r="F5" s="7"/>
      <c r="G5" s="7"/>
      <c r="H5" s="7"/>
      <c r="I5" s="7"/>
      <c r="J5" s="7"/>
      <c r="K5" s="8"/>
      <c r="L5" s="9"/>
      <c r="M5" s="8"/>
      <c r="N5" s="10"/>
      <c r="O5" s="11"/>
      <c r="P5" s="12"/>
      <c r="Q5" s="12"/>
      <c r="R5" s="12"/>
    </row>
    <row r="6" spans="1:18" ht="27" thickBot="1">
      <c r="A6" s="3"/>
      <c r="B6" s="4"/>
      <c r="C6" s="1415" t="s">
        <v>110</v>
      </c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7"/>
      <c r="O6" s="11"/>
      <c r="P6" s="12"/>
      <c r="Q6" s="12"/>
      <c r="R6" s="12"/>
    </row>
    <row r="7" spans="1:18" ht="32.25" thickBot="1">
      <c r="A7" s="17"/>
      <c r="B7" s="165" t="s">
        <v>18</v>
      </c>
      <c r="C7" s="19" t="s">
        <v>19</v>
      </c>
      <c r="D7" s="166" t="s">
        <v>20</v>
      </c>
      <c r="E7" s="234" t="s">
        <v>21</v>
      </c>
      <c r="F7" s="382" t="s">
        <v>22</v>
      </c>
      <c r="G7" s="383">
        <v>10</v>
      </c>
      <c r="H7" s="383">
        <v>9</v>
      </c>
      <c r="I7" s="383">
        <v>8</v>
      </c>
      <c r="J7" s="383">
        <v>7</v>
      </c>
      <c r="K7" s="383">
        <v>6</v>
      </c>
      <c r="L7" s="384">
        <v>5</v>
      </c>
      <c r="M7" s="171">
        <v>0</v>
      </c>
      <c r="N7" s="172" t="s">
        <v>23</v>
      </c>
      <c r="O7" s="173" t="s">
        <v>39</v>
      </c>
      <c r="P7" s="385" t="s">
        <v>25</v>
      </c>
      <c r="Q7" s="21" t="s">
        <v>26</v>
      </c>
      <c r="R7" s="85" t="s">
        <v>27</v>
      </c>
    </row>
    <row r="8" spans="1:18" ht="18.75">
      <c r="A8" s="29" t="s">
        <v>111</v>
      </c>
      <c r="B8" s="390">
        <v>1314</v>
      </c>
      <c r="C8" s="880" t="s">
        <v>56</v>
      </c>
      <c r="D8" s="391" t="s">
        <v>9</v>
      </c>
      <c r="E8" s="1038" t="s">
        <v>4</v>
      </c>
      <c r="F8" s="1287">
        <v>5</v>
      </c>
      <c r="G8" s="360">
        <v>8</v>
      </c>
      <c r="H8" s="360">
        <v>14</v>
      </c>
      <c r="I8" s="360">
        <v>3</v>
      </c>
      <c r="J8" s="392"/>
      <c r="K8" s="393"/>
      <c r="L8" s="394"/>
      <c r="M8" s="395"/>
      <c r="N8" s="396">
        <f t="shared" ref="N8" si="0">(F8*10)+(G8*10)+(H8*9)+(I8*8)+(J8*7)+(K8*6)+(L8*5)</f>
        <v>280</v>
      </c>
      <c r="O8" s="260">
        <f t="shared" ref="O8:O17" si="1">SUM(F8:M8)</f>
        <v>30</v>
      </c>
      <c r="P8" s="826"/>
      <c r="Q8" s="827"/>
      <c r="R8" s="206"/>
    </row>
    <row r="9" spans="1:18" ht="19.5" thickBot="1">
      <c r="A9" s="29" t="s">
        <v>111</v>
      </c>
      <c r="B9" s="1346">
        <v>1569</v>
      </c>
      <c r="C9" s="1347" t="s">
        <v>220</v>
      </c>
      <c r="D9" s="1348" t="s">
        <v>9</v>
      </c>
      <c r="E9" s="1349" t="s">
        <v>4</v>
      </c>
      <c r="F9" s="1350">
        <v>4</v>
      </c>
      <c r="G9" s="1096">
        <v>13</v>
      </c>
      <c r="H9" s="1096">
        <v>9</v>
      </c>
      <c r="I9" s="1096">
        <v>3</v>
      </c>
      <c r="J9" s="964"/>
      <c r="K9" s="1351"/>
      <c r="L9" s="1352"/>
      <c r="M9" s="1353">
        <v>1</v>
      </c>
      <c r="N9" s="965">
        <f t="shared" ref="N9:N17" si="2">(F9*10)+(G9*10)+(H9*9)+(I9*8)+(J9*7)+(K9*6)+(L9*5)</f>
        <v>275</v>
      </c>
      <c r="O9" s="313">
        <f>SUM(F9:M9)</f>
        <v>30</v>
      </c>
      <c r="P9" s="826"/>
      <c r="Q9" s="827"/>
      <c r="R9" s="206"/>
    </row>
    <row r="10" spans="1:18" ht="18.75">
      <c r="A10" s="29" t="s">
        <v>111</v>
      </c>
      <c r="B10" s="318">
        <v>1291</v>
      </c>
      <c r="C10" s="825" t="s">
        <v>89</v>
      </c>
      <c r="D10" s="134" t="s">
        <v>7</v>
      </c>
      <c r="E10" s="397" t="s">
        <v>112</v>
      </c>
      <c r="F10" s="1289">
        <v>3</v>
      </c>
      <c r="G10" s="373">
        <v>9</v>
      </c>
      <c r="H10" s="373">
        <v>15</v>
      </c>
      <c r="I10" s="373">
        <v>3</v>
      </c>
      <c r="J10" s="398"/>
      <c r="K10" s="399"/>
      <c r="L10" s="400"/>
      <c r="M10" s="401"/>
      <c r="N10" s="878">
        <f t="shared" si="2"/>
        <v>279</v>
      </c>
      <c r="O10" s="879">
        <f t="shared" si="1"/>
        <v>30</v>
      </c>
      <c r="P10" s="826"/>
      <c r="Q10" s="827"/>
      <c r="R10" s="157" t="str">
        <f>IF(N10=0," ",IF(O10&lt;&gt;30,"ERROR!"," "))</f>
        <v xml:space="preserve"> </v>
      </c>
    </row>
    <row r="11" spans="1:18" ht="19.5" thickBot="1">
      <c r="A11" s="29" t="s">
        <v>111</v>
      </c>
      <c r="B11" s="409">
        <v>1798</v>
      </c>
      <c r="C11" s="410" t="s">
        <v>58</v>
      </c>
      <c r="D11" s="411" t="s">
        <v>7</v>
      </c>
      <c r="E11" s="412" t="s">
        <v>112</v>
      </c>
      <c r="F11" s="1290">
        <v>3</v>
      </c>
      <c r="G11" s="1291">
        <v>11</v>
      </c>
      <c r="H11" s="1291">
        <v>10</v>
      </c>
      <c r="I11" s="1291">
        <v>6</v>
      </c>
      <c r="J11" s="413"/>
      <c r="K11" s="414"/>
      <c r="L11" s="415"/>
      <c r="M11" s="416"/>
      <c r="N11" s="402">
        <f t="shared" si="2"/>
        <v>278</v>
      </c>
      <c r="O11" s="263">
        <f t="shared" si="1"/>
        <v>30</v>
      </c>
      <c r="P11" s="826"/>
      <c r="Q11" s="827"/>
      <c r="R11" s="157"/>
    </row>
    <row r="12" spans="1:18" ht="18.75">
      <c r="A12" s="29" t="s">
        <v>111</v>
      </c>
      <c r="B12" s="270">
        <v>1850</v>
      </c>
      <c r="C12" s="1358" t="s">
        <v>200</v>
      </c>
      <c r="D12" s="1359" t="s">
        <v>9</v>
      </c>
      <c r="E12" s="234" t="s">
        <v>5</v>
      </c>
      <c r="F12" s="1361">
        <v>8</v>
      </c>
      <c r="G12" s="1363">
        <v>3</v>
      </c>
      <c r="H12" s="1363">
        <v>13</v>
      </c>
      <c r="I12" s="1363">
        <v>5</v>
      </c>
      <c r="J12" s="1363">
        <v>1</v>
      </c>
      <c r="K12" s="169"/>
      <c r="L12" s="170"/>
      <c r="M12" s="171"/>
      <c r="N12" s="876">
        <f t="shared" si="2"/>
        <v>274</v>
      </c>
      <c r="O12" s="877">
        <f t="shared" si="1"/>
        <v>30</v>
      </c>
      <c r="P12" s="826"/>
      <c r="Q12" s="827"/>
      <c r="R12" s="88"/>
    </row>
    <row r="13" spans="1:18" ht="18.75">
      <c r="A13" s="29" t="s">
        <v>111</v>
      </c>
      <c r="B13" s="326">
        <v>2138</v>
      </c>
      <c r="C13" s="1354" t="s">
        <v>77</v>
      </c>
      <c r="D13" s="327" t="s">
        <v>14</v>
      </c>
      <c r="E13" s="921" t="s">
        <v>5</v>
      </c>
      <c r="F13" s="1356">
        <v>3</v>
      </c>
      <c r="G13" s="363">
        <v>8</v>
      </c>
      <c r="H13" s="363">
        <v>12</v>
      </c>
      <c r="I13" s="363">
        <v>6</v>
      </c>
      <c r="J13" s="363">
        <v>0</v>
      </c>
      <c r="K13" s="364">
        <v>0</v>
      </c>
      <c r="L13" s="1365">
        <v>1</v>
      </c>
      <c r="M13" s="407"/>
      <c r="N13" s="417">
        <f t="shared" si="2"/>
        <v>271</v>
      </c>
      <c r="O13" s="310">
        <f t="shared" si="1"/>
        <v>30</v>
      </c>
      <c r="P13" s="826"/>
      <c r="Q13" s="827"/>
      <c r="R13" s="88"/>
    </row>
    <row r="14" spans="1:18" ht="18.75">
      <c r="A14" s="29" t="s">
        <v>111</v>
      </c>
      <c r="B14" s="326">
        <v>1687</v>
      </c>
      <c r="C14" s="410" t="s">
        <v>230</v>
      </c>
      <c r="D14" s="411" t="s">
        <v>11</v>
      </c>
      <c r="E14" s="922" t="s">
        <v>5</v>
      </c>
      <c r="F14" s="1360">
        <v>3</v>
      </c>
      <c r="G14" s="1362">
        <v>3</v>
      </c>
      <c r="H14" s="1362">
        <v>11</v>
      </c>
      <c r="I14" s="1362">
        <v>8</v>
      </c>
      <c r="J14" s="1362">
        <v>3</v>
      </c>
      <c r="K14" s="1362">
        <v>2</v>
      </c>
      <c r="L14" s="1364">
        <v>0</v>
      </c>
      <c r="M14" s="1366">
        <v>0</v>
      </c>
      <c r="N14" s="417">
        <f t="shared" si="2"/>
        <v>256</v>
      </c>
      <c r="O14" s="310">
        <f t="shared" si="1"/>
        <v>30</v>
      </c>
      <c r="P14" s="826"/>
      <c r="Q14" s="827"/>
      <c r="R14" s="157"/>
    </row>
    <row r="15" spans="1:18" ht="18.75">
      <c r="A15" s="29" t="s">
        <v>111</v>
      </c>
      <c r="B15" s="326">
        <v>309</v>
      </c>
      <c r="C15" s="410" t="s">
        <v>228</v>
      </c>
      <c r="D15" s="411" t="s">
        <v>11</v>
      </c>
      <c r="E15" s="922" t="s">
        <v>5</v>
      </c>
      <c r="F15" s="1355">
        <v>1</v>
      </c>
      <c r="G15" s="899">
        <v>9</v>
      </c>
      <c r="H15" s="899">
        <v>8</v>
      </c>
      <c r="I15" s="899">
        <v>6</v>
      </c>
      <c r="J15" s="899">
        <v>3</v>
      </c>
      <c r="K15" s="899">
        <v>0</v>
      </c>
      <c r="L15" s="1222">
        <v>0</v>
      </c>
      <c r="M15" s="1357">
        <v>3</v>
      </c>
      <c r="N15" s="417">
        <f t="shared" si="2"/>
        <v>241</v>
      </c>
      <c r="O15" s="310">
        <f t="shared" ref="O15" si="3">SUM(F15:M15)</f>
        <v>30</v>
      </c>
      <c r="P15" s="826"/>
      <c r="Q15" s="827"/>
      <c r="R15" s="157"/>
    </row>
    <row r="16" spans="1:18" ht="18.75">
      <c r="A16" s="29" t="s">
        <v>111</v>
      </c>
      <c r="B16" s="326">
        <v>1052</v>
      </c>
      <c r="C16" s="846" t="s">
        <v>197</v>
      </c>
      <c r="D16" s="422" t="s">
        <v>9</v>
      </c>
      <c r="E16" s="922" t="s">
        <v>5</v>
      </c>
      <c r="F16" s="1288">
        <v>3</v>
      </c>
      <c r="G16" s="373">
        <v>4</v>
      </c>
      <c r="H16" s="373">
        <v>9</v>
      </c>
      <c r="I16" s="373">
        <v>5</v>
      </c>
      <c r="J16" s="373">
        <v>5</v>
      </c>
      <c r="K16" s="374">
        <v>1</v>
      </c>
      <c r="L16" s="1292">
        <v>1</v>
      </c>
      <c r="M16" s="1293">
        <v>2</v>
      </c>
      <c r="N16" s="417">
        <f t="shared" si="2"/>
        <v>237</v>
      </c>
      <c r="O16" s="310">
        <f t="shared" ref="O16" si="4">SUM(F16:M16)</f>
        <v>30</v>
      </c>
      <c r="P16" s="826"/>
      <c r="Q16" s="827"/>
      <c r="R16" s="157"/>
    </row>
    <row r="17" spans="1:18" ht="19.5" thickBot="1">
      <c r="A17" s="29" t="s">
        <v>111</v>
      </c>
      <c r="B17" s="419">
        <v>1853</v>
      </c>
      <c r="C17" s="845" t="s">
        <v>84</v>
      </c>
      <c r="D17" s="408" t="s">
        <v>14</v>
      </c>
      <c r="E17" s="882" t="s">
        <v>5</v>
      </c>
      <c r="F17" s="1294">
        <v>1</v>
      </c>
      <c r="G17" s="365">
        <v>4</v>
      </c>
      <c r="H17" s="365">
        <v>5</v>
      </c>
      <c r="I17" s="365">
        <v>5</v>
      </c>
      <c r="J17" s="365">
        <v>10</v>
      </c>
      <c r="K17" s="366">
        <v>3</v>
      </c>
      <c r="L17" s="1295">
        <v>1</v>
      </c>
      <c r="M17" s="1296">
        <v>1</v>
      </c>
      <c r="N17" s="417">
        <f t="shared" si="2"/>
        <v>228</v>
      </c>
      <c r="O17" s="313">
        <f t="shared" si="1"/>
        <v>30</v>
      </c>
      <c r="P17" s="828"/>
      <c r="Q17" s="829"/>
      <c r="R17" s="96" t="str">
        <f>IF(N17=0," ",IF(O17&lt;&gt;30,"ERROR!"," "))</f>
        <v xml:space="preserve"> </v>
      </c>
    </row>
    <row r="18" spans="1:18" ht="19.5" thickBot="1">
      <c r="A18" s="3"/>
      <c r="B18" s="231">
        <f>COUNT(B10:B17)</f>
        <v>8</v>
      </c>
      <c r="C18" s="1433" t="s">
        <v>32</v>
      </c>
      <c r="D18" s="1434"/>
      <c r="E18" s="1435" t="s">
        <v>86</v>
      </c>
      <c r="F18" s="1436"/>
      <c r="G18" s="1436"/>
      <c r="H18" s="1436"/>
      <c r="I18" s="1436"/>
      <c r="J18" s="1436"/>
      <c r="K18" s="1436"/>
      <c r="L18" s="1436"/>
      <c r="M18" s="1436"/>
      <c r="N18" s="1473"/>
      <c r="O18" s="1474"/>
      <c r="P18" s="156"/>
      <c r="Q18" s="156"/>
      <c r="R18" s="12"/>
    </row>
  </sheetData>
  <sortState ref="B12:N17">
    <sortCondition descending="1" ref="N12:N17"/>
  </sortState>
  <mergeCells count="5">
    <mergeCell ref="A2:Q2"/>
    <mergeCell ref="B4:Q4"/>
    <mergeCell ref="C6:N6"/>
    <mergeCell ref="C18:D18"/>
    <mergeCell ref="E18:O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53"/>
  <sheetViews>
    <sheetView topLeftCell="A34" workbookViewId="0">
      <selection activeCell="Q46" sqref="Q46"/>
    </sheetView>
  </sheetViews>
  <sheetFormatPr defaultRowHeight="15"/>
  <cols>
    <col min="1" max="1" width="6.85546875" customWidth="1"/>
    <col min="3" max="3" width="24.42578125" customWidth="1"/>
    <col min="6" max="6" width="7.42578125" customWidth="1"/>
    <col min="7" max="8" width="7.28515625" customWidth="1"/>
    <col min="9" max="11" width="7.42578125" customWidth="1"/>
    <col min="12" max="12" width="7.7109375" customWidth="1"/>
    <col min="13" max="13" width="8" customWidth="1"/>
  </cols>
  <sheetData>
    <row r="1" spans="1:19" ht="15.75" thickBot="1"/>
    <row r="2" spans="1:19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1"/>
      <c r="S2" s="232"/>
    </row>
    <row r="3" spans="1:19" ht="16.5" thickBot="1">
      <c r="A3" s="3"/>
      <c r="B3" s="4"/>
      <c r="C3" s="5"/>
      <c r="D3" s="5"/>
      <c r="E3" s="6"/>
      <c r="F3" s="7"/>
      <c r="G3" s="7"/>
      <c r="H3" s="7"/>
      <c r="I3" s="7"/>
      <c r="J3" s="7"/>
      <c r="K3" s="8"/>
      <c r="L3" s="9"/>
      <c r="M3" s="8"/>
      <c r="N3" s="10"/>
      <c r="O3" s="11"/>
      <c r="P3" s="12"/>
      <c r="Q3" s="12"/>
      <c r="R3" s="12"/>
      <c r="S3" s="12"/>
    </row>
    <row r="4" spans="1:19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4"/>
      <c r="S4" s="13"/>
    </row>
    <row r="5" spans="1:19" ht="16.5" thickBot="1">
      <c r="A5" s="3"/>
      <c r="B5" s="4"/>
      <c r="C5" s="5"/>
      <c r="D5" s="5"/>
      <c r="E5" s="6"/>
      <c r="F5" s="7"/>
      <c r="G5" s="7"/>
      <c r="H5" s="7"/>
      <c r="I5" s="7"/>
      <c r="J5" s="7"/>
      <c r="K5" s="8"/>
      <c r="L5" s="9"/>
      <c r="M5" s="8"/>
      <c r="N5" s="10"/>
      <c r="O5" s="11"/>
      <c r="P5" s="12"/>
      <c r="Q5" s="12"/>
      <c r="R5" s="12"/>
      <c r="S5" s="12"/>
    </row>
    <row r="6" spans="1:19" ht="27" thickBot="1">
      <c r="A6" s="3"/>
      <c r="B6" s="4"/>
      <c r="C6" s="1415" t="s">
        <v>113</v>
      </c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7"/>
      <c r="O6" s="11"/>
      <c r="P6" s="12"/>
      <c r="Q6" s="12"/>
      <c r="R6" s="12"/>
      <c r="S6" s="12"/>
    </row>
    <row r="7" spans="1:19" ht="32.25" thickBot="1">
      <c r="A7" s="17"/>
      <c r="B7" s="165" t="s">
        <v>18</v>
      </c>
      <c r="C7" s="19" t="s">
        <v>19</v>
      </c>
      <c r="D7" s="166" t="s">
        <v>20</v>
      </c>
      <c r="E7" s="81" t="s">
        <v>21</v>
      </c>
      <c r="F7" s="877" t="s">
        <v>22</v>
      </c>
      <c r="G7" s="382">
        <v>10</v>
      </c>
      <c r="H7" s="383">
        <v>9</v>
      </c>
      <c r="I7" s="383">
        <v>8</v>
      </c>
      <c r="J7" s="383">
        <v>7</v>
      </c>
      <c r="K7" s="383">
        <v>6</v>
      </c>
      <c r="L7" s="384">
        <v>5</v>
      </c>
      <c r="M7" s="171">
        <v>0</v>
      </c>
      <c r="N7" s="172" t="s">
        <v>23</v>
      </c>
      <c r="O7" s="173" t="s">
        <v>39</v>
      </c>
      <c r="P7" s="99"/>
      <c r="Q7" s="385" t="s">
        <v>25</v>
      </c>
      <c r="R7" s="21" t="s">
        <v>26</v>
      </c>
      <c r="S7" s="85" t="s">
        <v>27</v>
      </c>
    </row>
    <row r="8" spans="1:19" ht="18.75">
      <c r="A8" s="29" t="s">
        <v>114</v>
      </c>
      <c r="B8" s="1367">
        <v>1569</v>
      </c>
      <c r="C8" s="1368" t="s">
        <v>220</v>
      </c>
      <c r="D8" s="391" t="s">
        <v>9</v>
      </c>
      <c r="E8" s="1299" t="s">
        <v>5</v>
      </c>
      <c r="F8" s="1369">
        <v>5</v>
      </c>
      <c r="G8" s="392">
        <v>13</v>
      </c>
      <c r="H8" s="392">
        <v>12</v>
      </c>
      <c r="I8" s="392"/>
      <c r="J8" s="392"/>
      <c r="K8" s="393"/>
      <c r="L8" s="1322"/>
      <c r="M8" s="395"/>
      <c r="N8" s="240">
        <f t="shared" ref="N8:N19" si="0">(F8*10)+(G8*10)+(H8*9)+(I8*8)+(J8*7)+(K8*6)+(L8*5)</f>
        <v>288</v>
      </c>
      <c r="O8" s="1043">
        <f t="shared" ref="O8:O19" si="1">SUM(F8:M8)</f>
        <v>30</v>
      </c>
      <c r="P8" s="37"/>
      <c r="Q8" s="1388" t="s">
        <v>282</v>
      </c>
      <c r="R8" s="54" t="s">
        <v>6</v>
      </c>
      <c r="S8" s="157" t="str">
        <f t="shared" ref="S8" si="2">IF(N8=0," ",IF(O8&lt;&gt;30,"ERROR!"," "))</f>
        <v xml:space="preserve"> </v>
      </c>
    </row>
    <row r="9" spans="1:19" ht="18.75">
      <c r="A9" s="29" t="s">
        <v>114</v>
      </c>
      <c r="B9" s="324">
        <v>1314</v>
      </c>
      <c r="C9" s="418" t="s">
        <v>37</v>
      </c>
      <c r="D9" s="94" t="s">
        <v>12</v>
      </c>
      <c r="E9" s="403" t="s">
        <v>5</v>
      </c>
      <c r="F9" s="404">
        <v>1</v>
      </c>
      <c r="G9" s="405">
        <v>14</v>
      </c>
      <c r="H9" s="405">
        <v>11</v>
      </c>
      <c r="I9" s="405">
        <v>4</v>
      </c>
      <c r="J9" s="405"/>
      <c r="K9" s="406"/>
      <c r="L9" s="421"/>
      <c r="M9" s="407"/>
      <c r="N9" s="402">
        <f t="shared" si="0"/>
        <v>281</v>
      </c>
      <c r="O9" s="310">
        <f t="shared" si="1"/>
        <v>30</v>
      </c>
      <c r="P9" s="800"/>
      <c r="Q9" s="1388" t="s">
        <v>282</v>
      </c>
      <c r="R9" s="54" t="s">
        <v>6</v>
      </c>
      <c r="S9" s="157"/>
    </row>
    <row r="10" spans="1:19" ht="18.75">
      <c r="A10" s="29" t="s">
        <v>114</v>
      </c>
      <c r="B10" s="324">
        <v>709</v>
      </c>
      <c r="C10" s="418" t="s">
        <v>219</v>
      </c>
      <c r="D10" s="94" t="s">
        <v>9</v>
      </c>
      <c r="E10" s="403" t="s">
        <v>5</v>
      </c>
      <c r="F10" s="404">
        <v>4</v>
      </c>
      <c r="G10" s="405">
        <v>12</v>
      </c>
      <c r="H10" s="405">
        <v>10</v>
      </c>
      <c r="I10" s="405">
        <v>3</v>
      </c>
      <c r="J10" s="405"/>
      <c r="K10" s="406">
        <v>1</v>
      </c>
      <c r="L10" s="421"/>
      <c r="M10" s="407"/>
      <c r="N10" s="402">
        <f t="shared" si="0"/>
        <v>280</v>
      </c>
      <c r="O10" s="310">
        <f t="shared" si="1"/>
        <v>30</v>
      </c>
      <c r="P10" s="800"/>
      <c r="Q10" s="1388" t="s">
        <v>282</v>
      </c>
      <c r="R10" s="54" t="s">
        <v>6</v>
      </c>
      <c r="S10" s="157"/>
    </row>
    <row r="11" spans="1:19" ht="18.75">
      <c r="A11" s="29" t="s">
        <v>114</v>
      </c>
      <c r="B11" s="326">
        <v>1983</v>
      </c>
      <c r="C11" s="423" t="s">
        <v>115</v>
      </c>
      <c r="D11" s="94" t="s">
        <v>14</v>
      </c>
      <c r="E11" s="403" t="s">
        <v>5</v>
      </c>
      <c r="F11" s="404">
        <v>0</v>
      </c>
      <c r="G11" s="405">
        <v>11</v>
      </c>
      <c r="H11" s="405">
        <v>16</v>
      </c>
      <c r="I11" s="405">
        <v>2</v>
      </c>
      <c r="J11" s="405">
        <v>1</v>
      </c>
      <c r="K11" s="406"/>
      <c r="L11" s="421"/>
      <c r="M11" s="407"/>
      <c r="N11" s="402">
        <f t="shared" si="0"/>
        <v>277</v>
      </c>
      <c r="O11" s="310">
        <f t="shared" ref="O11" si="3">SUM(F11:M11)</f>
        <v>30</v>
      </c>
      <c r="P11" s="800"/>
      <c r="Q11" s="47" t="str">
        <f t="shared" ref="Q11" si="4">IF(N11&gt;296,"Yes","NO")</f>
        <v>NO</v>
      </c>
      <c r="R11" s="54"/>
      <c r="S11" s="157"/>
    </row>
    <row r="12" spans="1:19" ht="18.75">
      <c r="A12" s="29" t="s">
        <v>114</v>
      </c>
      <c r="B12" s="425">
        <v>2138</v>
      </c>
      <c r="C12" s="418" t="s">
        <v>214</v>
      </c>
      <c r="D12" s="327" t="s">
        <v>9</v>
      </c>
      <c r="E12" s="403" t="s">
        <v>5</v>
      </c>
      <c r="F12" s="426">
        <v>2</v>
      </c>
      <c r="G12" s="427">
        <v>13</v>
      </c>
      <c r="H12" s="427">
        <v>8</v>
      </c>
      <c r="I12" s="427">
        <v>4</v>
      </c>
      <c r="J12" s="427">
        <v>3</v>
      </c>
      <c r="K12" s="428"/>
      <c r="L12" s="429"/>
      <c r="M12" s="430"/>
      <c r="N12" s="402">
        <f t="shared" si="0"/>
        <v>275</v>
      </c>
      <c r="O12" s="310">
        <f t="shared" si="1"/>
        <v>30</v>
      </c>
      <c r="P12" s="800"/>
      <c r="Q12" s="47" t="str">
        <f t="shared" ref="Q12:Q14" si="5">IF(N12&gt;296,"Yes","NO")</f>
        <v>NO</v>
      </c>
      <c r="R12" s="54" t="str">
        <f>IF(Q12="yes","M","")</f>
        <v/>
      </c>
      <c r="S12" s="157" t="str">
        <f>IF(N12=0," ",IF(O12&lt;&gt;30,"ERROR!"," "))</f>
        <v xml:space="preserve"> </v>
      </c>
    </row>
    <row r="13" spans="1:19" ht="18.75">
      <c r="A13" s="29" t="s">
        <v>114</v>
      </c>
      <c r="B13" s="318">
        <v>1982</v>
      </c>
      <c r="C13" s="825" t="s">
        <v>77</v>
      </c>
      <c r="D13" s="134" t="s">
        <v>14</v>
      </c>
      <c r="E13" s="403" t="s">
        <v>5</v>
      </c>
      <c r="F13" s="404">
        <v>0</v>
      </c>
      <c r="G13" s="405">
        <v>10</v>
      </c>
      <c r="H13" s="405">
        <v>14</v>
      </c>
      <c r="I13" s="405">
        <v>5</v>
      </c>
      <c r="J13" s="405">
        <v>1</v>
      </c>
      <c r="K13" s="406"/>
      <c r="L13" s="421"/>
      <c r="M13" s="407"/>
      <c r="N13" s="402">
        <f t="shared" si="0"/>
        <v>273</v>
      </c>
      <c r="O13" s="310">
        <f t="shared" si="1"/>
        <v>30</v>
      </c>
      <c r="P13" s="800"/>
      <c r="Q13" s="47" t="str">
        <f t="shared" si="5"/>
        <v>NO</v>
      </c>
      <c r="R13" s="54" t="str">
        <f t="shared" ref="R13:R14" si="6">IF(Q13="yes","M","")</f>
        <v/>
      </c>
      <c r="S13" s="157" t="str">
        <f>IF(N13=0," ",IF(O13&lt;&gt;30,"ERROR!"," "))</f>
        <v xml:space="preserve"> </v>
      </c>
    </row>
    <row r="14" spans="1:19" ht="18.75">
      <c r="A14" s="29" t="s">
        <v>114</v>
      </c>
      <c r="B14" s="324">
        <v>1268</v>
      </c>
      <c r="C14" s="418" t="s">
        <v>202</v>
      </c>
      <c r="D14" s="94" t="s">
        <v>9</v>
      </c>
      <c r="E14" s="403" t="s">
        <v>5</v>
      </c>
      <c r="F14" s="404">
        <v>2</v>
      </c>
      <c r="G14" s="405">
        <v>7</v>
      </c>
      <c r="H14" s="405">
        <v>12</v>
      </c>
      <c r="I14" s="405">
        <v>7</v>
      </c>
      <c r="J14" s="405">
        <v>2</v>
      </c>
      <c r="K14" s="406"/>
      <c r="L14" s="421"/>
      <c r="M14" s="407"/>
      <c r="N14" s="402">
        <f t="shared" si="0"/>
        <v>268</v>
      </c>
      <c r="O14" s="310">
        <f t="shared" si="1"/>
        <v>30</v>
      </c>
      <c r="P14" s="800"/>
      <c r="Q14" s="47" t="str">
        <f t="shared" si="5"/>
        <v>NO</v>
      </c>
      <c r="R14" s="54" t="str">
        <f t="shared" si="6"/>
        <v/>
      </c>
      <c r="S14" s="157" t="str">
        <f>IF(N14=0," ",IF(O14&lt;&gt;30,"ERROR!"," "))</f>
        <v xml:space="preserve"> </v>
      </c>
    </row>
    <row r="15" spans="1:19" ht="18.75">
      <c r="A15" s="29" t="s">
        <v>114</v>
      </c>
      <c r="B15" s="326">
        <v>1984</v>
      </c>
      <c r="C15" s="423" t="s">
        <v>81</v>
      </c>
      <c r="D15" s="94" t="s">
        <v>14</v>
      </c>
      <c r="E15" s="403" t="s">
        <v>5</v>
      </c>
      <c r="F15" s="404">
        <v>2</v>
      </c>
      <c r="G15" s="405">
        <v>5</v>
      </c>
      <c r="H15" s="405">
        <v>14</v>
      </c>
      <c r="I15" s="405">
        <v>8</v>
      </c>
      <c r="J15" s="405">
        <v>1</v>
      </c>
      <c r="K15" s="406"/>
      <c r="L15" s="421"/>
      <c r="M15" s="407"/>
      <c r="N15" s="402">
        <f t="shared" si="0"/>
        <v>267</v>
      </c>
      <c r="O15" s="310">
        <f t="shared" si="1"/>
        <v>30</v>
      </c>
      <c r="P15" s="800"/>
      <c r="Q15" s="54" t="str">
        <f t="shared" ref="Q15" si="7">IF(N15&gt;293,"Yes","NO")</f>
        <v>NO</v>
      </c>
      <c r="R15" s="431"/>
      <c r="S15" s="348"/>
    </row>
    <row r="16" spans="1:19" ht="18.75">
      <c r="A16" s="29" t="s">
        <v>114</v>
      </c>
      <c r="B16" s="326">
        <v>1619</v>
      </c>
      <c r="C16" s="423" t="s">
        <v>73</v>
      </c>
      <c r="D16" s="327" t="s">
        <v>7</v>
      </c>
      <c r="E16" s="403" t="s">
        <v>5</v>
      </c>
      <c r="F16" s="404">
        <v>3</v>
      </c>
      <c r="G16" s="405"/>
      <c r="H16" s="405">
        <v>12</v>
      </c>
      <c r="I16" s="405">
        <v>12</v>
      </c>
      <c r="J16" s="405">
        <v>1</v>
      </c>
      <c r="K16" s="406">
        <v>1</v>
      </c>
      <c r="L16" s="421"/>
      <c r="M16" s="407">
        <v>1</v>
      </c>
      <c r="N16" s="402">
        <f t="shared" si="0"/>
        <v>247</v>
      </c>
      <c r="O16" s="310">
        <f t="shared" si="1"/>
        <v>30</v>
      </c>
      <c r="P16" s="800"/>
      <c r="Q16" s="54" t="str">
        <f>IF(N16&gt;293,"Yes","NO")</f>
        <v>NO</v>
      </c>
      <c r="R16" s="432"/>
      <c r="S16" s="348"/>
    </row>
    <row r="17" spans="1:19" ht="18.75">
      <c r="A17" s="29" t="s">
        <v>114</v>
      </c>
      <c r="B17" s="425">
        <v>1052</v>
      </c>
      <c r="C17" s="418" t="s">
        <v>197</v>
      </c>
      <c r="D17" s="327" t="s">
        <v>9</v>
      </c>
      <c r="E17" s="403" t="s">
        <v>5</v>
      </c>
      <c r="F17" s="426">
        <v>1</v>
      </c>
      <c r="G17" s="427">
        <v>3</v>
      </c>
      <c r="H17" s="427">
        <v>13</v>
      </c>
      <c r="I17" s="427">
        <v>4</v>
      </c>
      <c r="J17" s="427">
        <v>5</v>
      </c>
      <c r="K17" s="428">
        <v>2</v>
      </c>
      <c r="L17" s="429">
        <v>1</v>
      </c>
      <c r="M17" s="430">
        <v>1</v>
      </c>
      <c r="N17" s="402">
        <f t="shared" si="0"/>
        <v>241</v>
      </c>
      <c r="O17" s="310">
        <f t="shared" ref="O17" si="8">SUM(F17:M17)</f>
        <v>30</v>
      </c>
      <c r="P17" s="800"/>
      <c r="Q17" s="54" t="str">
        <f>IF(N17&gt;293,"Yes","NO")</f>
        <v>NO</v>
      </c>
      <c r="R17" s="432"/>
      <c r="S17" s="348"/>
    </row>
    <row r="18" spans="1:19" ht="18.75">
      <c r="A18" s="29" t="s">
        <v>114</v>
      </c>
      <c r="B18" s="326">
        <v>1850</v>
      </c>
      <c r="C18" s="423" t="s">
        <v>200</v>
      </c>
      <c r="D18" s="327" t="s">
        <v>9</v>
      </c>
      <c r="E18" s="403" t="s">
        <v>5</v>
      </c>
      <c r="F18" s="404">
        <v>1</v>
      </c>
      <c r="G18" s="405">
        <v>2</v>
      </c>
      <c r="H18" s="405">
        <v>6</v>
      </c>
      <c r="I18" s="405">
        <v>12</v>
      </c>
      <c r="J18" s="405">
        <v>7</v>
      </c>
      <c r="K18" s="406">
        <v>2</v>
      </c>
      <c r="L18" s="421"/>
      <c r="M18" s="407"/>
      <c r="N18" s="402">
        <f t="shared" si="0"/>
        <v>241</v>
      </c>
      <c r="O18" s="310">
        <f t="shared" ref="O18" si="9">SUM(F18:M18)</f>
        <v>30</v>
      </c>
      <c r="P18" s="800"/>
      <c r="Q18" s="54" t="str">
        <f t="shared" ref="Q18:Q19" si="10">IF(N18&gt;293,"Yes","NO")</f>
        <v>NO</v>
      </c>
      <c r="R18" s="432"/>
      <c r="S18" s="348"/>
    </row>
    <row r="19" spans="1:19" ht="19.5" thickBot="1">
      <c r="A19" s="29" t="s">
        <v>114</v>
      </c>
      <c r="B19" s="326">
        <v>283</v>
      </c>
      <c r="C19" s="423" t="s">
        <v>136</v>
      </c>
      <c r="D19" s="327" t="s">
        <v>2</v>
      </c>
      <c r="E19" s="403" t="s">
        <v>5</v>
      </c>
      <c r="F19" s="404">
        <v>1</v>
      </c>
      <c r="G19" s="405">
        <v>4</v>
      </c>
      <c r="H19" s="405">
        <v>9</v>
      </c>
      <c r="I19" s="405">
        <v>6</v>
      </c>
      <c r="J19" s="405">
        <v>5</v>
      </c>
      <c r="K19" s="406">
        <v>2</v>
      </c>
      <c r="L19" s="421">
        <v>1</v>
      </c>
      <c r="M19" s="407">
        <v>2</v>
      </c>
      <c r="N19" s="402">
        <f t="shared" si="0"/>
        <v>231</v>
      </c>
      <c r="O19" s="313">
        <f t="shared" si="1"/>
        <v>30</v>
      </c>
      <c r="P19" s="1374"/>
      <c r="Q19" s="54" t="str">
        <f t="shared" si="10"/>
        <v>NO</v>
      </c>
      <c r="R19" s="432"/>
      <c r="S19" s="348"/>
    </row>
    <row r="20" spans="1:19" ht="19.5" thickBot="1">
      <c r="A20" s="3"/>
      <c r="B20" s="231">
        <f>COUNT(B8:B19)</f>
        <v>12</v>
      </c>
      <c r="C20" s="1433" t="s">
        <v>32</v>
      </c>
      <c r="D20" s="1434"/>
      <c r="E20" s="1435" t="s">
        <v>86</v>
      </c>
      <c r="F20" s="1436"/>
      <c r="G20" s="1436"/>
      <c r="H20" s="1436"/>
      <c r="I20" s="1436"/>
      <c r="J20" s="1436"/>
      <c r="K20" s="1436"/>
      <c r="L20" s="1436"/>
      <c r="M20" s="1436"/>
      <c r="N20" s="1436"/>
      <c r="O20" s="1437"/>
      <c r="P20" s="12"/>
      <c r="Q20" s="156"/>
      <c r="R20" s="156"/>
      <c r="S20" s="12"/>
    </row>
    <row r="22" spans="1:19" ht="15.75" thickBot="1"/>
    <row r="23" spans="1:19" ht="27" thickBot="1">
      <c r="A23" s="3"/>
      <c r="B23" s="4"/>
      <c r="C23" s="1415" t="s">
        <v>117</v>
      </c>
      <c r="D23" s="1416"/>
      <c r="E23" s="1416"/>
      <c r="F23" s="1416"/>
      <c r="G23" s="1416"/>
      <c r="H23" s="1416"/>
      <c r="I23" s="1416"/>
      <c r="J23" s="1416"/>
      <c r="K23" s="1416"/>
      <c r="L23" s="1416"/>
      <c r="M23" s="1416"/>
      <c r="N23" s="1417"/>
      <c r="O23" s="11"/>
      <c r="P23" s="12"/>
      <c r="Q23" s="12"/>
      <c r="R23" s="12"/>
      <c r="S23" s="12"/>
    </row>
    <row r="24" spans="1:19" ht="32.25" thickBot="1">
      <c r="A24" s="17"/>
      <c r="B24" s="165" t="s">
        <v>18</v>
      </c>
      <c r="C24" s="19" t="s">
        <v>19</v>
      </c>
      <c r="D24" s="166" t="s">
        <v>20</v>
      </c>
      <c r="E24" s="234" t="s">
        <v>21</v>
      </c>
      <c r="F24" s="382" t="s">
        <v>22</v>
      </c>
      <c r="G24" s="383">
        <v>10</v>
      </c>
      <c r="H24" s="383">
        <v>9</v>
      </c>
      <c r="I24" s="383">
        <v>8</v>
      </c>
      <c r="J24" s="383">
        <v>7</v>
      </c>
      <c r="K24" s="383">
        <v>6</v>
      </c>
      <c r="L24" s="384">
        <v>5</v>
      </c>
      <c r="M24" s="171">
        <v>0</v>
      </c>
      <c r="N24" s="172" t="s">
        <v>23</v>
      </c>
      <c r="O24" s="173" t="s">
        <v>39</v>
      </c>
      <c r="P24" s="99"/>
      <c r="Q24" s="385" t="s">
        <v>25</v>
      </c>
      <c r="R24" s="21" t="s">
        <v>26</v>
      </c>
      <c r="S24" s="85" t="s">
        <v>27</v>
      </c>
    </row>
    <row r="25" spans="1:19" ht="18.75">
      <c r="A25" s="29" t="s">
        <v>118</v>
      </c>
      <c r="B25" s="1034">
        <v>1172</v>
      </c>
      <c r="C25" s="1035" t="s">
        <v>256</v>
      </c>
      <c r="D25" s="1024" t="s">
        <v>7</v>
      </c>
      <c r="E25" s="1038" t="s">
        <v>5</v>
      </c>
      <c r="F25" s="1037">
        <v>6</v>
      </c>
      <c r="G25" s="841">
        <v>14</v>
      </c>
      <c r="H25" s="841">
        <v>9</v>
      </c>
      <c r="I25" s="841">
        <v>1</v>
      </c>
      <c r="J25" s="841"/>
      <c r="K25" s="842"/>
      <c r="L25" s="843"/>
      <c r="M25" s="844"/>
      <c r="N25" s="172">
        <f>(F25*10)+(G25*10)+(H25*9)+(I25*8)+(J25*7)+(K25*6)+(L25*5)</f>
        <v>289</v>
      </c>
      <c r="O25" s="1389">
        <f>SUM(F25:M25)</f>
        <v>30</v>
      </c>
      <c r="P25" s="1392"/>
      <c r="Q25" s="1399" t="s">
        <v>282</v>
      </c>
      <c r="R25" s="1393" t="s">
        <v>6</v>
      </c>
      <c r="S25" s="835"/>
    </row>
    <row r="26" spans="1:19" ht="18.75">
      <c r="A26" s="29" t="s">
        <v>118</v>
      </c>
      <c r="B26" s="1033">
        <v>1567</v>
      </c>
      <c r="C26" s="1036" t="s">
        <v>220</v>
      </c>
      <c r="D26" s="423" t="s">
        <v>9</v>
      </c>
      <c r="E26" s="921" t="s">
        <v>5</v>
      </c>
      <c r="F26" s="1040">
        <v>6</v>
      </c>
      <c r="G26" s="427">
        <v>8</v>
      </c>
      <c r="H26" s="427">
        <v>11</v>
      </c>
      <c r="I26" s="427">
        <v>4</v>
      </c>
      <c r="J26" s="427"/>
      <c r="K26" s="428">
        <v>1</v>
      </c>
      <c r="L26" s="429"/>
      <c r="M26" s="430"/>
      <c r="N26" s="246">
        <f>(F26*10)+(G26*10)+(H26*9)+(I26*8)+(J26*7)+(K26*6)+(L26*5)</f>
        <v>277</v>
      </c>
      <c r="O26" s="753">
        <f>SUM(F26:M26)</f>
        <v>30</v>
      </c>
      <c r="P26" s="1394"/>
      <c r="Q26" s="1391"/>
      <c r="R26" s="1395"/>
      <c r="S26" s="835"/>
    </row>
    <row r="27" spans="1:19" ht="18.75">
      <c r="A27" s="29" t="s">
        <v>258</v>
      </c>
      <c r="B27" s="1026">
        <v>1982</v>
      </c>
      <c r="C27" s="1118" t="s">
        <v>77</v>
      </c>
      <c r="D27" s="712" t="s">
        <v>14</v>
      </c>
      <c r="E27" s="1039" t="s">
        <v>5</v>
      </c>
      <c r="F27" s="1027">
        <v>2</v>
      </c>
      <c r="G27" s="1028">
        <v>7</v>
      </c>
      <c r="H27" s="1028">
        <v>13</v>
      </c>
      <c r="I27" s="1028">
        <v>4</v>
      </c>
      <c r="J27" s="1028">
        <v>4</v>
      </c>
      <c r="K27" s="1029"/>
      <c r="L27" s="1030"/>
      <c r="M27" s="1032"/>
      <c r="N27" s="752">
        <f>(F27*10)+(G27*10)+(H27*9)+(I27*8)+(J27*7)+(K27*6)+(L27*5)</f>
        <v>267</v>
      </c>
      <c r="O27" s="754">
        <f>SUM(F27:M27)</f>
        <v>30</v>
      </c>
      <c r="P27" s="1394"/>
      <c r="Q27" s="1391"/>
      <c r="R27" s="1395"/>
      <c r="S27" s="835"/>
    </row>
    <row r="28" spans="1:19" ht="19.5" thickBot="1">
      <c r="A28" s="29" t="s">
        <v>118</v>
      </c>
      <c r="B28" s="1375">
        <v>1314</v>
      </c>
      <c r="C28" s="1376" t="s">
        <v>37</v>
      </c>
      <c r="D28" s="963" t="s">
        <v>12</v>
      </c>
      <c r="E28" s="882" t="s">
        <v>5</v>
      </c>
      <c r="F28" s="1377">
        <v>2</v>
      </c>
      <c r="G28" s="1370">
        <v>8</v>
      </c>
      <c r="H28" s="1370">
        <v>14</v>
      </c>
      <c r="I28" s="1370">
        <v>2</v>
      </c>
      <c r="J28" s="1370">
        <v>1</v>
      </c>
      <c r="K28" s="1371">
        <v>1</v>
      </c>
      <c r="L28" s="1372"/>
      <c r="M28" s="1373">
        <v>2</v>
      </c>
      <c r="N28" s="338">
        <f>(F28*10)+(G28*10)+(H28*9)+(I28*8)+(J28*7)+(K28*6)+(L28*5)</f>
        <v>255</v>
      </c>
      <c r="O28" s="753">
        <f>SUM(F28:M28)</f>
        <v>30</v>
      </c>
      <c r="P28" s="1396"/>
      <c r="Q28" s="1397"/>
      <c r="R28" s="1398"/>
      <c r="S28" s="1390"/>
    </row>
    <row r="29" spans="1:19" ht="19.5" thickBot="1">
      <c r="A29" s="3"/>
      <c r="B29" s="231">
        <f>COUNT(#REF!)</f>
        <v>0</v>
      </c>
      <c r="C29" s="1433" t="s">
        <v>32</v>
      </c>
      <c r="D29" s="1434"/>
      <c r="E29" s="1435" t="s">
        <v>86</v>
      </c>
      <c r="F29" s="1436"/>
      <c r="G29" s="1436"/>
      <c r="H29" s="1436"/>
      <c r="I29" s="1436"/>
      <c r="J29" s="1436"/>
      <c r="K29" s="1436"/>
      <c r="L29" s="1436"/>
      <c r="M29" s="1436"/>
      <c r="N29" s="1436"/>
      <c r="O29" s="1437"/>
      <c r="P29" s="12"/>
      <c r="Q29" s="156"/>
      <c r="R29" s="156"/>
      <c r="S29" s="12"/>
    </row>
    <row r="30" spans="1:19" ht="18.75">
      <c r="A30" s="3"/>
      <c r="B30" s="883"/>
      <c r="C30" s="616"/>
      <c r="D30" s="616"/>
      <c r="E30" s="884"/>
      <c r="F30" s="884"/>
      <c r="G30" s="884"/>
      <c r="H30" s="884"/>
      <c r="I30" s="884"/>
      <c r="J30" s="884"/>
      <c r="K30" s="884"/>
      <c r="L30" s="884"/>
      <c r="M30" s="884"/>
      <c r="N30" s="884"/>
      <c r="O30" s="884"/>
      <c r="P30" s="12"/>
      <c r="Q30" s="832"/>
      <c r="R30" s="832"/>
      <c r="S30" s="12"/>
    </row>
    <row r="31" spans="1:19" ht="15.75" thickBot="1"/>
    <row r="32" spans="1:19" ht="27" thickBot="1">
      <c r="A32" s="3"/>
      <c r="B32" s="4"/>
      <c r="C32" s="1415" t="s">
        <v>119</v>
      </c>
      <c r="D32" s="1416"/>
      <c r="E32" s="1416"/>
      <c r="F32" s="1416"/>
      <c r="G32" s="1416"/>
      <c r="H32" s="1416"/>
      <c r="I32" s="1416"/>
      <c r="J32" s="1416"/>
      <c r="K32" s="1417"/>
      <c r="L32" s="293"/>
      <c r="M32" s="294"/>
      <c r="N32" s="277"/>
      <c r="O32" s="11"/>
      <c r="P32" s="12"/>
      <c r="Q32" s="12"/>
    </row>
    <row r="33" spans="1:17" ht="32.25" thickBot="1">
      <c r="A33" s="3"/>
      <c r="B33" s="420" t="s">
        <v>18</v>
      </c>
      <c r="C33" s="70" t="s">
        <v>19</v>
      </c>
      <c r="D33" s="434" t="s">
        <v>20</v>
      </c>
      <c r="E33" s="435" t="s">
        <v>21</v>
      </c>
      <c r="F33" s="436" t="s">
        <v>22</v>
      </c>
      <c r="G33" s="437">
        <v>5</v>
      </c>
      <c r="H33" s="437">
        <v>4</v>
      </c>
      <c r="I33" s="437">
        <v>3</v>
      </c>
      <c r="J33" s="438">
        <v>2</v>
      </c>
      <c r="K33" s="439">
        <v>0</v>
      </c>
      <c r="L33" s="295" t="s">
        <v>23</v>
      </c>
      <c r="M33" s="269" t="s">
        <v>93</v>
      </c>
      <c r="N33" s="296" t="s">
        <v>25</v>
      </c>
      <c r="O33" s="297" t="s">
        <v>26</v>
      </c>
      <c r="P33" s="5"/>
      <c r="Q33" s="85" t="s">
        <v>27</v>
      </c>
    </row>
    <row r="34" spans="1:17" ht="16.5" thickBot="1">
      <c r="A34" s="29" t="s">
        <v>120</v>
      </c>
      <c r="B34" s="1139">
        <v>1314</v>
      </c>
      <c r="C34" s="975" t="s">
        <v>37</v>
      </c>
      <c r="D34" s="145" t="s">
        <v>12</v>
      </c>
      <c r="E34" s="1140" t="s">
        <v>6</v>
      </c>
      <c r="F34" s="1141">
        <v>3</v>
      </c>
      <c r="G34" s="1142">
        <v>1</v>
      </c>
      <c r="H34" s="1142">
        <v>5</v>
      </c>
      <c r="I34" s="1142">
        <v>10</v>
      </c>
      <c r="J34" s="438">
        <v>5</v>
      </c>
      <c r="K34" s="1143"/>
      <c r="L34" s="1144">
        <f t="shared" ref="L34" si="11">(F34*5)+(G34*5)+(H34*4)+(I34*3)+(J34*2)</f>
        <v>80</v>
      </c>
      <c r="M34" s="1145">
        <f t="shared" ref="M34:M40" si="12">SUM(F34:K34)</f>
        <v>24</v>
      </c>
      <c r="N34" s="1475"/>
      <c r="O34" s="1476"/>
      <c r="P34" s="5"/>
      <c r="Q34" s="157" t="str">
        <f>IF(L34=0," ",IF(M34&lt;&gt;24,"ERROR!"," "))</f>
        <v xml:space="preserve"> </v>
      </c>
    </row>
    <row r="35" spans="1:17" ht="15.75">
      <c r="A35" s="29" t="s">
        <v>120</v>
      </c>
      <c r="B35" s="444">
        <v>1569</v>
      </c>
      <c r="C35" s="712" t="s">
        <v>220</v>
      </c>
      <c r="D35" s="1116" t="s">
        <v>9</v>
      </c>
      <c r="E35" s="1135" t="s">
        <v>5</v>
      </c>
      <c r="F35" s="1136">
        <v>2</v>
      </c>
      <c r="G35" s="320">
        <v>2</v>
      </c>
      <c r="H35" s="320">
        <v>12</v>
      </c>
      <c r="I35" s="320">
        <v>8</v>
      </c>
      <c r="J35" s="321"/>
      <c r="K35" s="1137"/>
      <c r="L35" s="1138">
        <f t="shared" ref="L35:L43" si="13">(F35*5)+(G35*5)+(H35*4)+(I35*3)+(J35*2)</f>
        <v>92</v>
      </c>
      <c r="M35" s="1016">
        <f t="shared" si="12"/>
        <v>24</v>
      </c>
      <c r="N35" s="1387" t="s">
        <v>282</v>
      </c>
      <c r="O35" s="284" t="s">
        <v>6</v>
      </c>
      <c r="P35" s="12"/>
      <c r="Q35" s="157"/>
    </row>
    <row r="36" spans="1:17" ht="15.75">
      <c r="A36" s="29" t="s">
        <v>120</v>
      </c>
      <c r="B36" s="440">
        <v>1982</v>
      </c>
      <c r="C36" s="410" t="s">
        <v>77</v>
      </c>
      <c r="D36" s="411" t="s">
        <v>14</v>
      </c>
      <c r="E36" s="447" t="s">
        <v>5</v>
      </c>
      <c r="F36" s="441">
        <v>2</v>
      </c>
      <c r="G36" s="301">
        <v>3</v>
      </c>
      <c r="H36" s="301">
        <v>8</v>
      </c>
      <c r="I36" s="301">
        <v>10</v>
      </c>
      <c r="J36" s="325">
        <v>1</v>
      </c>
      <c r="K36" s="442"/>
      <c r="L36" s="443">
        <f t="shared" si="13"/>
        <v>89</v>
      </c>
      <c r="M36" s="188">
        <f t="shared" si="12"/>
        <v>24</v>
      </c>
      <c r="N36" s="1387" t="s">
        <v>282</v>
      </c>
      <c r="O36" s="284" t="s">
        <v>6</v>
      </c>
      <c r="P36" s="12"/>
      <c r="Q36" s="157" t="str">
        <f>IF(L36=0," ",IF(M36&lt;&gt;24,"ERROR!"," "))</f>
        <v xml:space="preserve"> </v>
      </c>
    </row>
    <row r="37" spans="1:17" ht="15.75">
      <c r="A37" s="29" t="s">
        <v>120</v>
      </c>
      <c r="B37" s="440">
        <v>1268</v>
      </c>
      <c r="C37" s="410" t="s">
        <v>202</v>
      </c>
      <c r="D37" s="411" t="s">
        <v>9</v>
      </c>
      <c r="E37" s="447" t="s">
        <v>5</v>
      </c>
      <c r="F37" s="441">
        <v>2</v>
      </c>
      <c r="G37" s="301">
        <v>1</v>
      </c>
      <c r="H37" s="301">
        <v>11</v>
      </c>
      <c r="I37" s="301">
        <v>7</v>
      </c>
      <c r="J37" s="325">
        <v>3</v>
      </c>
      <c r="K37" s="442"/>
      <c r="L37" s="443">
        <f t="shared" si="13"/>
        <v>86</v>
      </c>
      <c r="M37" s="188">
        <f t="shared" si="12"/>
        <v>24</v>
      </c>
      <c r="N37" s="1387" t="s">
        <v>282</v>
      </c>
      <c r="O37" s="284" t="s">
        <v>6</v>
      </c>
      <c r="P37" s="12"/>
      <c r="Q37" s="157"/>
    </row>
    <row r="38" spans="1:17" ht="15.75">
      <c r="A38" s="29" t="s">
        <v>120</v>
      </c>
      <c r="B38" s="326">
        <v>709</v>
      </c>
      <c r="C38" s="423" t="s">
        <v>219</v>
      </c>
      <c r="D38" s="327" t="s">
        <v>9</v>
      </c>
      <c r="E38" s="447" t="s">
        <v>5</v>
      </c>
      <c r="F38" s="441">
        <v>1</v>
      </c>
      <c r="G38" s="301">
        <v>2</v>
      </c>
      <c r="H38" s="301">
        <v>11</v>
      </c>
      <c r="I38" s="301">
        <v>6</v>
      </c>
      <c r="J38" s="325">
        <v>2</v>
      </c>
      <c r="K38" s="442">
        <v>2</v>
      </c>
      <c r="L38" s="443">
        <f t="shared" si="13"/>
        <v>81</v>
      </c>
      <c r="M38" s="188">
        <f t="shared" si="12"/>
        <v>24</v>
      </c>
      <c r="N38" s="285" t="str">
        <f t="shared" ref="N38" si="14">IF(L38&gt;114,"Yes","NO")</f>
        <v>NO</v>
      </c>
      <c r="O38" s="286" t="str">
        <f>IF(N38="yes","HM","")</f>
        <v/>
      </c>
      <c r="P38" s="12"/>
      <c r="Q38" s="157" t="str">
        <f>IF(L38=0," ",IF(M38&lt;&gt;24,"ERROR!"," "))</f>
        <v xml:space="preserve"> </v>
      </c>
    </row>
    <row r="39" spans="1:17" ht="15.75">
      <c r="A39" s="29" t="s">
        <v>120</v>
      </c>
      <c r="B39" s="326">
        <v>1619</v>
      </c>
      <c r="C39" s="423" t="s">
        <v>73</v>
      </c>
      <c r="D39" s="327" t="s">
        <v>7</v>
      </c>
      <c r="E39" s="447" t="s">
        <v>5</v>
      </c>
      <c r="F39" s="441">
        <v>2</v>
      </c>
      <c r="G39" s="301">
        <v>1</v>
      </c>
      <c r="H39" s="301">
        <v>8</v>
      </c>
      <c r="I39" s="301">
        <v>4</v>
      </c>
      <c r="J39" s="325">
        <v>9</v>
      </c>
      <c r="K39" s="442"/>
      <c r="L39" s="443">
        <f t="shared" si="13"/>
        <v>77</v>
      </c>
      <c r="M39" s="188">
        <f t="shared" si="12"/>
        <v>24</v>
      </c>
      <c r="N39" s="283" t="str">
        <f t="shared" ref="N39:N40" si="15">IF(L39&gt;109,"Yes","NO")</f>
        <v>NO</v>
      </c>
      <c r="O39" s="284" t="str">
        <f>IF(N39="yes","M","")</f>
        <v/>
      </c>
      <c r="P39" s="12"/>
      <c r="Q39" s="157" t="str">
        <f>IF(L39=0," ",IF(M39&lt;&gt;24,"ERROR!"," "))</f>
        <v xml:space="preserve"> </v>
      </c>
    </row>
    <row r="40" spans="1:17" ht="15.75">
      <c r="A40" s="29" t="s">
        <v>120</v>
      </c>
      <c r="B40" s="326">
        <v>2138</v>
      </c>
      <c r="C40" s="410" t="s">
        <v>214</v>
      </c>
      <c r="D40" s="422" t="s">
        <v>9</v>
      </c>
      <c r="E40" s="447" t="s">
        <v>5</v>
      </c>
      <c r="F40" s="441">
        <v>2</v>
      </c>
      <c r="G40" s="301">
        <v>1</v>
      </c>
      <c r="H40" s="301">
        <v>5</v>
      </c>
      <c r="I40" s="301">
        <v>5</v>
      </c>
      <c r="J40" s="325">
        <v>11</v>
      </c>
      <c r="K40" s="442"/>
      <c r="L40" s="443">
        <f t="shared" si="13"/>
        <v>72</v>
      </c>
      <c r="M40" s="188">
        <f t="shared" si="12"/>
        <v>24</v>
      </c>
      <c r="N40" s="283" t="str">
        <f t="shared" si="15"/>
        <v>NO</v>
      </c>
      <c r="O40" s="284"/>
      <c r="P40" s="12"/>
      <c r="Q40" s="157"/>
    </row>
    <row r="41" spans="1:17" ht="15.75">
      <c r="A41" s="29" t="s">
        <v>120</v>
      </c>
      <c r="B41" s="440">
        <v>1983</v>
      </c>
      <c r="C41" s="410" t="s">
        <v>84</v>
      </c>
      <c r="D41" s="411" t="s">
        <v>14</v>
      </c>
      <c r="E41" s="447" t="s">
        <v>5</v>
      </c>
      <c r="F41" s="441">
        <v>1</v>
      </c>
      <c r="G41" s="301">
        <v>0</v>
      </c>
      <c r="H41" s="301">
        <v>3</v>
      </c>
      <c r="I41" s="301">
        <v>11</v>
      </c>
      <c r="J41" s="325">
        <v>9</v>
      </c>
      <c r="K41" s="442"/>
      <c r="L41" s="443">
        <f t="shared" si="13"/>
        <v>68</v>
      </c>
      <c r="M41" s="188">
        <f t="shared" ref="M41" si="16">SUM(F41:K41)</f>
        <v>24</v>
      </c>
      <c r="N41" s="283" t="str">
        <f t="shared" ref="N41" si="17">IF(L41&gt;109,"Yes","NO")</f>
        <v>NO</v>
      </c>
      <c r="O41" s="284"/>
      <c r="P41" s="12"/>
      <c r="Q41" s="157"/>
    </row>
    <row r="42" spans="1:17" ht="15.75">
      <c r="A42" s="29" t="s">
        <v>120</v>
      </c>
      <c r="B42" s="326">
        <v>1025</v>
      </c>
      <c r="C42" s="410" t="s">
        <v>197</v>
      </c>
      <c r="D42" s="422" t="s">
        <v>9</v>
      </c>
      <c r="E42" s="447" t="s">
        <v>5</v>
      </c>
      <c r="F42" s="441">
        <v>1</v>
      </c>
      <c r="G42" s="301"/>
      <c r="H42" s="301">
        <v>5</v>
      </c>
      <c r="I42" s="301">
        <v>5</v>
      </c>
      <c r="J42" s="325">
        <v>11</v>
      </c>
      <c r="K42" s="442">
        <v>2</v>
      </c>
      <c r="L42" s="443">
        <f t="shared" si="13"/>
        <v>62</v>
      </c>
      <c r="M42" s="188">
        <f t="shared" ref="M42" si="18">SUM(F42:K42)</f>
        <v>24</v>
      </c>
      <c r="N42" s="283" t="str">
        <f t="shared" ref="N42" si="19">IF(L42&gt;109,"Yes","NO")</f>
        <v>NO</v>
      </c>
      <c r="O42" s="284"/>
      <c r="P42" s="12"/>
      <c r="Q42" s="157"/>
    </row>
    <row r="43" spans="1:17" ht="16.5" thickBot="1">
      <c r="A43" s="29" t="s">
        <v>120</v>
      </c>
      <c r="B43" s="440">
        <v>1850</v>
      </c>
      <c r="C43" s="410" t="s">
        <v>200</v>
      </c>
      <c r="D43" s="411" t="s">
        <v>9</v>
      </c>
      <c r="E43" s="447" t="s">
        <v>5</v>
      </c>
      <c r="F43" s="441">
        <v>0</v>
      </c>
      <c r="G43" s="301">
        <v>0</v>
      </c>
      <c r="H43" s="301">
        <v>0</v>
      </c>
      <c r="I43" s="301">
        <v>1</v>
      </c>
      <c r="J43" s="325">
        <v>17</v>
      </c>
      <c r="K43" s="442">
        <v>6</v>
      </c>
      <c r="L43" s="443">
        <f t="shared" si="13"/>
        <v>37</v>
      </c>
      <c r="M43" s="188">
        <f t="shared" ref="M43" si="20">SUM(F43:K43)</f>
        <v>24</v>
      </c>
      <c r="N43" s="283" t="str">
        <f t="shared" ref="N43" si="21">IF(L43&gt;109,"Yes","NO")</f>
        <v>NO</v>
      </c>
      <c r="O43" s="284"/>
      <c r="P43" s="12"/>
      <c r="Q43" s="157"/>
    </row>
    <row r="44" spans="1:17" ht="19.5" thickBot="1">
      <c r="A44" s="3"/>
      <c r="B44" s="210">
        <f>COUNT(B34:B43)</f>
        <v>10</v>
      </c>
      <c r="C44" s="1466" t="s">
        <v>32</v>
      </c>
      <c r="D44" s="1467"/>
      <c r="E44" s="1458" t="s">
        <v>96</v>
      </c>
      <c r="F44" s="1459"/>
      <c r="G44" s="1459"/>
      <c r="H44" s="1459"/>
      <c r="I44" s="1459"/>
      <c r="J44" s="1459"/>
      <c r="K44" s="1459"/>
      <c r="L44" s="1459"/>
      <c r="M44" s="1459"/>
      <c r="N44" s="1459"/>
      <c r="O44" s="1460"/>
      <c r="P44" s="12"/>
      <c r="Q44" s="12"/>
    </row>
    <row r="46" spans="1:17" ht="15.75" thickBot="1"/>
    <row r="47" spans="1:17" ht="27" thickBot="1">
      <c r="A47" s="3"/>
      <c r="B47" s="4"/>
      <c r="C47" s="1415" t="s">
        <v>121</v>
      </c>
      <c r="D47" s="1416"/>
      <c r="E47" s="1416"/>
      <c r="F47" s="1416"/>
      <c r="G47" s="1416"/>
      <c r="H47" s="1416"/>
      <c r="I47" s="1416"/>
      <c r="J47" s="1416"/>
      <c r="K47" s="1417"/>
      <c r="L47" s="293"/>
      <c r="M47" s="294"/>
      <c r="N47" s="277"/>
      <c r="O47" s="11"/>
      <c r="P47" s="12"/>
      <c r="Q47" s="12"/>
    </row>
    <row r="48" spans="1:17" ht="32.25" thickBot="1">
      <c r="A48" s="3"/>
      <c r="B48" s="420" t="s">
        <v>18</v>
      </c>
      <c r="C48" s="70" t="s">
        <v>19</v>
      </c>
      <c r="D48" s="1017" t="s">
        <v>20</v>
      </c>
      <c r="E48" s="435" t="s">
        <v>21</v>
      </c>
      <c r="F48" s="436" t="s">
        <v>22</v>
      </c>
      <c r="G48" s="437">
        <v>5</v>
      </c>
      <c r="H48" s="437">
        <v>4</v>
      </c>
      <c r="I48" s="437">
        <v>3</v>
      </c>
      <c r="J48" s="438">
        <v>2</v>
      </c>
      <c r="K48" s="439">
        <v>0</v>
      </c>
      <c r="L48" s="445" t="s">
        <v>23</v>
      </c>
      <c r="M48" s="446" t="s">
        <v>93</v>
      </c>
      <c r="N48" s="1403" t="s">
        <v>25</v>
      </c>
      <c r="O48" s="271" t="s">
        <v>26</v>
      </c>
      <c r="P48" s="5"/>
      <c r="Q48" s="85" t="s">
        <v>27</v>
      </c>
    </row>
    <row r="49" spans="1:17" ht="15.75">
      <c r="A49" s="29" t="s">
        <v>122</v>
      </c>
      <c r="B49" s="1146">
        <v>1569</v>
      </c>
      <c r="C49" s="1147" t="s">
        <v>220</v>
      </c>
      <c r="D49" s="1148" t="s">
        <v>9</v>
      </c>
      <c r="E49" s="1038" t="s">
        <v>5</v>
      </c>
      <c r="F49" s="272">
        <v>1</v>
      </c>
      <c r="G49" s="299">
        <v>7</v>
      </c>
      <c r="H49" s="299">
        <v>13</v>
      </c>
      <c r="I49" s="299">
        <v>1</v>
      </c>
      <c r="J49" s="1041"/>
      <c r="K49" s="1042">
        <v>2</v>
      </c>
      <c r="L49" s="259">
        <f>(F49*5)+(G49*5)+(H49*4)+(I49*3)+(J49*2)</f>
        <v>95</v>
      </c>
      <c r="M49" s="1400">
        <f>SUM(F49:K49)</f>
        <v>24</v>
      </c>
      <c r="N49" s="1407" t="s">
        <v>282</v>
      </c>
      <c r="O49" s="1404" t="s">
        <v>6</v>
      </c>
      <c r="P49" s="5"/>
      <c r="Q49" s="847"/>
    </row>
    <row r="50" spans="1:17" ht="15.75">
      <c r="A50" s="29" t="s">
        <v>264</v>
      </c>
      <c r="B50" s="1277">
        <v>1314</v>
      </c>
      <c r="C50" s="849" t="s">
        <v>201</v>
      </c>
      <c r="D50" s="1116" t="s">
        <v>12</v>
      </c>
      <c r="E50" s="1280" t="s">
        <v>5</v>
      </c>
      <c r="F50" s="319">
        <v>6</v>
      </c>
      <c r="G50" s="320">
        <v>1</v>
      </c>
      <c r="H50" s="320">
        <v>7</v>
      </c>
      <c r="I50" s="320">
        <v>9</v>
      </c>
      <c r="J50" s="321">
        <v>1</v>
      </c>
      <c r="K50" s="322"/>
      <c r="L50" s="1114">
        <f>(F50*5)+(G50*5)+(H50*4)+(I50*3)+(J50*2)</f>
        <v>92</v>
      </c>
      <c r="M50" s="1401">
        <f>SUM(F50:K50)</f>
        <v>24</v>
      </c>
      <c r="N50" s="1408" t="s">
        <v>282</v>
      </c>
      <c r="O50" s="1405" t="s">
        <v>6</v>
      </c>
      <c r="P50" s="5"/>
      <c r="Q50" s="847"/>
    </row>
    <row r="51" spans="1:17" ht="16.5" thickBot="1">
      <c r="A51" s="29" t="s">
        <v>122</v>
      </c>
      <c r="B51" s="1276">
        <v>1982</v>
      </c>
      <c r="C51" s="1278" t="s">
        <v>77</v>
      </c>
      <c r="D51" s="1279" t="s">
        <v>14</v>
      </c>
      <c r="E51" s="921" t="s">
        <v>5</v>
      </c>
      <c r="F51" s="281">
        <v>3</v>
      </c>
      <c r="G51" s="1117">
        <v>3</v>
      </c>
      <c r="H51" s="1117">
        <v>7</v>
      </c>
      <c r="I51" s="1117">
        <v>7</v>
      </c>
      <c r="J51" s="321">
        <v>3</v>
      </c>
      <c r="K51" s="322">
        <v>1</v>
      </c>
      <c r="L51" s="323">
        <f>(F51*5)+(G51*5)+(H51*4)+(I51*3)+(J51*2)</f>
        <v>85</v>
      </c>
      <c r="M51" s="1402">
        <f>SUM(F51:K51)</f>
        <v>24</v>
      </c>
      <c r="N51" s="1409" t="s">
        <v>282</v>
      </c>
      <c r="O51" s="1406" t="s">
        <v>6</v>
      </c>
      <c r="P51" s="5"/>
      <c r="Q51" s="157" t="str">
        <f>IF(L51=0," ",IF(M51&lt;&gt;24,"ERROR!"," "))</f>
        <v xml:space="preserve"> </v>
      </c>
    </row>
    <row r="52" spans="1:17" ht="19.5" thickBot="1">
      <c r="A52" s="3"/>
      <c r="B52" s="210">
        <f>COUNT(B51:B51)</f>
        <v>1</v>
      </c>
      <c r="C52" s="1466" t="s">
        <v>32</v>
      </c>
      <c r="D52" s="1467"/>
      <c r="E52" s="1458" t="s">
        <v>96</v>
      </c>
      <c r="F52" s="1459"/>
      <c r="G52" s="1459"/>
      <c r="H52" s="1459"/>
      <c r="I52" s="1459"/>
      <c r="J52" s="1459"/>
      <c r="K52" s="1459"/>
      <c r="L52" s="1459"/>
      <c r="M52" s="1459"/>
      <c r="N52" s="1462"/>
      <c r="O52" s="1463"/>
      <c r="P52" s="12"/>
      <c r="Q52" s="12"/>
    </row>
    <row r="53" spans="1:17" ht="15.75">
      <c r="A53" s="3"/>
      <c r="B53" s="4"/>
      <c r="C53" s="5"/>
      <c r="D53" s="5"/>
      <c r="E53" s="6"/>
      <c r="F53" s="7"/>
      <c r="G53" s="7"/>
      <c r="H53" s="7"/>
      <c r="I53" s="7"/>
      <c r="J53" s="7"/>
      <c r="K53" s="8"/>
      <c r="L53" s="9"/>
      <c r="M53" s="8"/>
      <c r="N53" s="10"/>
      <c r="O53" s="11"/>
      <c r="P53" s="12"/>
      <c r="Q53" s="12"/>
    </row>
  </sheetData>
  <sortState ref="B35:L43">
    <sortCondition descending="1" ref="L35"/>
  </sortState>
  <mergeCells count="15">
    <mergeCell ref="C44:D44"/>
    <mergeCell ref="E44:O44"/>
    <mergeCell ref="C47:K47"/>
    <mergeCell ref="C52:D52"/>
    <mergeCell ref="E52:O52"/>
    <mergeCell ref="N34:O34"/>
    <mergeCell ref="A2:R2"/>
    <mergeCell ref="B4:R4"/>
    <mergeCell ref="C6:N6"/>
    <mergeCell ref="C20:D20"/>
    <mergeCell ref="E20:O20"/>
    <mergeCell ref="C23:N23"/>
    <mergeCell ref="C29:D29"/>
    <mergeCell ref="E29:O29"/>
    <mergeCell ref="C32:K3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46"/>
  <sheetViews>
    <sheetView topLeftCell="A34" workbookViewId="0">
      <selection activeCell="E18" sqref="E18"/>
    </sheetView>
  </sheetViews>
  <sheetFormatPr defaultRowHeight="15"/>
  <cols>
    <col min="1" max="1" width="25" customWidth="1"/>
  </cols>
  <sheetData>
    <row r="1" spans="1:18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1"/>
      <c r="P1" s="889"/>
      <c r="Q1" s="889"/>
      <c r="R1" s="889"/>
    </row>
    <row r="2" spans="1:18" ht="15.75" thickBot="1"/>
    <row r="3" spans="1:18" ht="21" thickBot="1">
      <c r="A3" s="1477" t="s">
        <v>123</v>
      </c>
      <c r="B3" s="1478"/>
      <c r="C3" s="1478"/>
      <c r="D3" s="1478"/>
      <c r="E3" s="1478"/>
      <c r="F3" s="1478"/>
      <c r="G3" s="1478"/>
      <c r="H3" s="1478"/>
      <c r="I3" s="1478"/>
      <c r="J3" s="1478"/>
      <c r="K3" s="1478"/>
      <c r="L3" s="1478"/>
      <c r="M3" s="1478"/>
      <c r="N3" s="1478"/>
      <c r="O3" s="1479"/>
    </row>
    <row r="4" spans="1:18" ht="33.75" thickBot="1">
      <c r="A4" s="509" t="s">
        <v>19</v>
      </c>
      <c r="B4" s="725" t="s">
        <v>18</v>
      </c>
      <c r="C4" s="511" t="s">
        <v>124</v>
      </c>
      <c r="D4" s="512" t="s">
        <v>20</v>
      </c>
      <c r="E4" s="513" t="s">
        <v>125</v>
      </c>
      <c r="F4" s="514" t="s">
        <v>126</v>
      </c>
      <c r="G4" s="511" t="s">
        <v>127</v>
      </c>
      <c r="H4" s="726" t="s">
        <v>128</v>
      </c>
      <c r="I4" s="513" t="s">
        <v>129</v>
      </c>
      <c r="J4" s="514" t="s">
        <v>130</v>
      </c>
      <c r="K4" s="727" t="s">
        <v>131</v>
      </c>
      <c r="L4" s="726" t="s">
        <v>128</v>
      </c>
      <c r="M4" s="547" t="s">
        <v>23</v>
      </c>
      <c r="N4" s="728" t="s">
        <v>132</v>
      </c>
      <c r="O4" s="667" t="s">
        <v>133</v>
      </c>
    </row>
    <row r="5" spans="1:18" ht="16.5">
      <c r="A5" s="993" t="s">
        <v>53</v>
      </c>
      <c r="B5" s="994">
        <v>2434</v>
      </c>
      <c r="C5" s="449" t="s">
        <v>3</v>
      </c>
      <c r="D5" s="450" t="s">
        <v>9</v>
      </c>
      <c r="E5" s="704">
        <v>139</v>
      </c>
      <c r="F5" s="705">
        <v>137</v>
      </c>
      <c r="G5" s="449"/>
      <c r="H5" s="995">
        <f t="shared" ref="H5:H12" si="0">SUM($E5:$G5)</f>
        <v>276</v>
      </c>
      <c r="I5" s="704">
        <v>85</v>
      </c>
      <c r="J5" s="705">
        <v>92</v>
      </c>
      <c r="K5" s="706">
        <v>89</v>
      </c>
      <c r="L5" s="995">
        <f t="shared" ref="L5:L12" si="1">SUM($I5:$K5)</f>
        <v>266</v>
      </c>
      <c r="M5" s="996">
        <f t="shared" ref="M5:M12" si="2">$H5+$L5</f>
        <v>542</v>
      </c>
      <c r="N5" s="1014"/>
      <c r="O5" s="933"/>
    </row>
    <row r="6" spans="1:18" ht="16.5">
      <c r="A6" s="1044" t="s">
        <v>255</v>
      </c>
      <c r="B6" s="1045">
        <v>2</v>
      </c>
      <c r="C6" s="1046" t="s">
        <v>3</v>
      </c>
      <c r="D6" s="1047" t="s">
        <v>7</v>
      </c>
      <c r="E6" s="1048">
        <v>132</v>
      </c>
      <c r="F6" s="1049">
        <v>132</v>
      </c>
      <c r="G6" s="1046"/>
      <c r="H6" s="458">
        <f t="shared" si="0"/>
        <v>264</v>
      </c>
      <c r="I6" s="1048">
        <v>90</v>
      </c>
      <c r="J6" s="1049">
        <v>91</v>
      </c>
      <c r="K6" s="1050">
        <v>95</v>
      </c>
      <c r="L6" s="458">
        <f t="shared" si="1"/>
        <v>276</v>
      </c>
      <c r="M6" s="460">
        <f t="shared" si="2"/>
        <v>540</v>
      </c>
      <c r="N6" s="1014"/>
      <c r="O6" s="933"/>
    </row>
    <row r="7" spans="1:18" ht="17.25" thickBot="1">
      <c r="A7" s="1152" t="s">
        <v>259</v>
      </c>
      <c r="B7" s="1153">
        <v>42</v>
      </c>
      <c r="C7" s="1154" t="s">
        <v>3</v>
      </c>
      <c r="D7" s="1155" t="s">
        <v>2</v>
      </c>
      <c r="E7" s="1156">
        <v>119</v>
      </c>
      <c r="F7" s="1157">
        <v>123</v>
      </c>
      <c r="G7" s="1154"/>
      <c r="H7" s="967">
        <f t="shared" si="0"/>
        <v>242</v>
      </c>
      <c r="I7" s="1156">
        <v>67</v>
      </c>
      <c r="J7" s="1157">
        <v>68</v>
      </c>
      <c r="K7" s="1158">
        <v>56</v>
      </c>
      <c r="L7" s="967">
        <f t="shared" si="1"/>
        <v>191</v>
      </c>
      <c r="M7" s="497">
        <f t="shared" si="2"/>
        <v>433</v>
      </c>
      <c r="N7" s="932"/>
      <c r="O7" s="933"/>
    </row>
    <row r="8" spans="1:18" ht="16.5">
      <c r="A8" s="465" t="s">
        <v>204</v>
      </c>
      <c r="B8" s="577">
        <v>169</v>
      </c>
      <c r="C8" s="1159" t="s">
        <v>4</v>
      </c>
      <c r="D8" s="1160" t="s">
        <v>7</v>
      </c>
      <c r="E8" s="1161">
        <v>135</v>
      </c>
      <c r="F8" s="1162">
        <v>138</v>
      </c>
      <c r="G8" s="1163"/>
      <c r="H8" s="1164">
        <f t="shared" si="0"/>
        <v>273</v>
      </c>
      <c r="I8" s="1165">
        <v>93</v>
      </c>
      <c r="J8" s="1166">
        <v>94</v>
      </c>
      <c r="K8" s="468">
        <v>90</v>
      </c>
      <c r="L8" s="1164">
        <f t="shared" si="1"/>
        <v>277</v>
      </c>
      <c r="M8" s="469">
        <f t="shared" si="2"/>
        <v>550</v>
      </c>
      <c r="N8" s="571" t="str">
        <f>IF(M8&gt;564,"Yes","NO")</f>
        <v>NO</v>
      </c>
      <c r="O8" s="1149"/>
    </row>
    <row r="9" spans="1:18" ht="16.5">
      <c r="A9" s="981" t="s">
        <v>135</v>
      </c>
      <c r="B9" s="1001">
        <v>1668</v>
      </c>
      <c r="C9" s="983" t="s">
        <v>4</v>
      </c>
      <c r="D9" s="984" t="s">
        <v>7</v>
      </c>
      <c r="E9" s="997">
        <v>134</v>
      </c>
      <c r="F9" s="998">
        <v>139</v>
      </c>
      <c r="G9" s="999"/>
      <c r="H9" s="1002">
        <f t="shared" si="0"/>
        <v>273</v>
      </c>
      <c r="I9" s="1003">
        <v>95</v>
      </c>
      <c r="J9" s="998">
        <v>85</v>
      </c>
      <c r="K9" s="1004">
        <v>82</v>
      </c>
      <c r="L9" s="1002">
        <f t="shared" si="1"/>
        <v>262</v>
      </c>
      <c r="M9" s="1015">
        <f t="shared" si="2"/>
        <v>535</v>
      </c>
      <c r="N9" s="620" t="str">
        <f t="shared" ref="N9:N12" si="3">IF(M9&gt;564,"Yes","NO")</f>
        <v>NO</v>
      </c>
      <c r="O9" s="1000"/>
      <c r="Q9" s="1"/>
    </row>
    <row r="10" spans="1:18" ht="16.5">
      <c r="A10" s="461" t="s">
        <v>56</v>
      </c>
      <c r="B10" s="452">
        <v>2138</v>
      </c>
      <c r="C10" s="453" t="s">
        <v>4</v>
      </c>
      <c r="D10" s="462" t="s">
        <v>9</v>
      </c>
      <c r="E10" s="463">
        <v>126</v>
      </c>
      <c r="F10" s="456">
        <v>122</v>
      </c>
      <c r="G10" s="457"/>
      <c r="H10" s="458">
        <f t="shared" si="0"/>
        <v>248</v>
      </c>
      <c r="I10" s="477">
        <v>92</v>
      </c>
      <c r="J10" s="459">
        <v>82</v>
      </c>
      <c r="K10" s="478">
        <v>91</v>
      </c>
      <c r="L10" s="458">
        <f t="shared" si="1"/>
        <v>265</v>
      </c>
      <c r="M10" s="460">
        <f t="shared" si="2"/>
        <v>513</v>
      </c>
      <c r="N10" s="620" t="str">
        <f t="shared" si="3"/>
        <v>NO</v>
      </c>
      <c r="O10" s="1150" t="str">
        <f t="shared" ref="O10:O12" si="4">IF(N10="Yes","M","")</f>
        <v/>
      </c>
    </row>
    <row r="11" spans="1:18" ht="16.5">
      <c r="A11" s="501" t="s">
        <v>102</v>
      </c>
      <c r="B11" s="470">
        <v>3623</v>
      </c>
      <c r="C11" s="471" t="s">
        <v>4</v>
      </c>
      <c r="D11" s="472" t="s">
        <v>7</v>
      </c>
      <c r="E11" s="473">
        <v>133</v>
      </c>
      <c r="F11" s="474">
        <v>128</v>
      </c>
      <c r="G11" s="491"/>
      <c r="H11" s="458">
        <f t="shared" si="0"/>
        <v>261</v>
      </c>
      <c r="I11" s="463">
        <v>73</v>
      </c>
      <c r="J11" s="474">
        <v>87</v>
      </c>
      <c r="K11" s="475">
        <v>89</v>
      </c>
      <c r="L11" s="458">
        <f t="shared" si="1"/>
        <v>249</v>
      </c>
      <c r="M11" s="460">
        <f t="shared" si="2"/>
        <v>510</v>
      </c>
      <c r="N11" s="620" t="str">
        <f t="shared" si="3"/>
        <v>NO</v>
      </c>
      <c r="O11" s="1151"/>
    </row>
    <row r="12" spans="1:18" ht="17.25" thickBot="1">
      <c r="A12" s="479" t="s">
        <v>136</v>
      </c>
      <c r="B12" s="480">
        <v>283</v>
      </c>
      <c r="C12" s="481" t="s">
        <v>4</v>
      </c>
      <c r="D12" s="482" t="s">
        <v>2</v>
      </c>
      <c r="E12" s="483">
        <v>113</v>
      </c>
      <c r="F12" s="484">
        <v>125</v>
      </c>
      <c r="G12" s="701"/>
      <c r="H12" s="702">
        <f t="shared" si="0"/>
        <v>238</v>
      </c>
      <c r="I12" s="485">
        <v>73</v>
      </c>
      <c r="J12" s="486">
        <v>64</v>
      </c>
      <c r="K12" s="487">
        <v>82</v>
      </c>
      <c r="L12" s="702">
        <f t="shared" si="1"/>
        <v>219</v>
      </c>
      <c r="M12" s="488">
        <f t="shared" si="2"/>
        <v>457</v>
      </c>
      <c r="N12" s="575" t="str">
        <f t="shared" si="3"/>
        <v>NO</v>
      </c>
      <c r="O12" s="1150" t="str">
        <f t="shared" si="4"/>
        <v/>
      </c>
    </row>
    <row r="13" spans="1:18" ht="16.5">
      <c r="A13" s="461" t="s">
        <v>55</v>
      </c>
      <c r="B13" s="452">
        <v>641</v>
      </c>
      <c r="C13" s="494" t="s">
        <v>6</v>
      </c>
      <c r="D13" s="495" t="s">
        <v>14</v>
      </c>
      <c r="E13" s="455">
        <v>126</v>
      </c>
      <c r="F13" s="456">
        <v>129</v>
      </c>
      <c r="G13" s="457"/>
      <c r="H13" s="458">
        <f t="shared" ref="H13" si="5">SUM($E13:$G13)</f>
        <v>255</v>
      </c>
      <c r="I13" s="455">
        <v>75</v>
      </c>
      <c r="J13" s="456">
        <v>85</v>
      </c>
      <c r="K13" s="457">
        <v>90</v>
      </c>
      <c r="L13" s="458">
        <f t="shared" ref="L13" si="6">SUM($I13:$K13)</f>
        <v>250</v>
      </c>
      <c r="M13" s="460">
        <f t="shared" ref="M13" si="7">$H13+$L13</f>
        <v>505</v>
      </c>
      <c r="N13" s="464" t="str">
        <f t="shared" ref="N13" si="8">IF(M13&gt;529,"Yes","NO")</f>
        <v>NO</v>
      </c>
      <c r="O13" s="1175"/>
    </row>
    <row r="14" spans="1:18" ht="17.25" thickBot="1">
      <c r="A14" s="812" t="s">
        <v>78</v>
      </c>
      <c r="B14" s="968">
        <v>723</v>
      </c>
      <c r="C14" s="891" t="s">
        <v>6</v>
      </c>
      <c r="D14" s="1167" t="s">
        <v>14</v>
      </c>
      <c r="E14" s="1168">
        <v>132</v>
      </c>
      <c r="F14" s="1169">
        <v>132</v>
      </c>
      <c r="G14" s="1170"/>
      <c r="H14" s="1171">
        <f t="shared" ref="H14" si="9">SUM($E14:$G14)</f>
        <v>264</v>
      </c>
      <c r="I14" s="1168">
        <v>71</v>
      </c>
      <c r="J14" s="1169">
        <v>89</v>
      </c>
      <c r="K14" s="1172">
        <v>70</v>
      </c>
      <c r="L14" s="1171">
        <f t="shared" ref="L14" si="10">SUM($I14:$K14)</f>
        <v>230</v>
      </c>
      <c r="M14" s="813">
        <f t="shared" ref="M14" si="11">$H14+$L14</f>
        <v>494</v>
      </c>
      <c r="N14" s="1173" t="str">
        <f t="shared" ref="N14:N17" si="12">IF(M14&gt;509,"Yes","NO")</f>
        <v>NO</v>
      </c>
      <c r="O14" s="1174"/>
    </row>
    <row r="15" spans="1:18" ht="18">
      <c r="A15" s="1265" t="s">
        <v>220</v>
      </c>
      <c r="B15" s="1214">
        <v>1569</v>
      </c>
      <c r="C15" s="498" t="s">
        <v>5</v>
      </c>
      <c r="D15" s="1215" t="s">
        <v>9</v>
      </c>
      <c r="E15" s="1216">
        <v>119</v>
      </c>
      <c r="F15" s="1166">
        <v>126</v>
      </c>
      <c r="G15" s="1217"/>
      <c r="H15" s="1164">
        <f>SUM($E15:$G15)</f>
        <v>245</v>
      </c>
      <c r="I15" s="1216">
        <v>75</v>
      </c>
      <c r="J15" s="1166">
        <v>91</v>
      </c>
      <c r="K15" s="1217">
        <v>83</v>
      </c>
      <c r="L15" s="1218">
        <f>SUM($I15:$K15)</f>
        <v>249</v>
      </c>
      <c r="M15" s="1219">
        <f>$H15+$L15</f>
        <v>494</v>
      </c>
      <c r="N15" s="620" t="str">
        <f t="shared" si="12"/>
        <v>NO</v>
      </c>
      <c r="O15" s="748"/>
    </row>
    <row r="16" spans="1:18" ht="16.5">
      <c r="A16" s="501" t="s">
        <v>217</v>
      </c>
      <c r="B16" s="502">
        <v>1264</v>
      </c>
      <c r="C16" s="503" t="s">
        <v>5</v>
      </c>
      <c r="D16" s="504" t="s">
        <v>7</v>
      </c>
      <c r="E16" s="346">
        <v>108</v>
      </c>
      <c r="F16" s="505">
        <v>115</v>
      </c>
      <c r="G16" s="966"/>
      <c r="H16" s="458">
        <f>SUM($E16:$G16)</f>
        <v>223</v>
      </c>
      <c r="I16" s="463">
        <v>75</v>
      </c>
      <c r="J16" s="474">
        <v>88</v>
      </c>
      <c r="K16" s="475">
        <v>77</v>
      </c>
      <c r="L16" s="458">
        <f>SUM($I16:$K16)</f>
        <v>240</v>
      </c>
      <c r="M16" s="460">
        <f>$H16+$L16</f>
        <v>463</v>
      </c>
      <c r="N16" s="620" t="str">
        <f t="shared" si="12"/>
        <v>NO</v>
      </c>
      <c r="O16" s="1151"/>
    </row>
    <row r="17" spans="1:15" ht="16.5">
      <c r="A17" s="461" t="s">
        <v>89</v>
      </c>
      <c r="B17" s="500">
        <v>1291</v>
      </c>
      <c r="C17" s="1176" t="s">
        <v>5</v>
      </c>
      <c r="D17" s="1177" t="s">
        <v>7</v>
      </c>
      <c r="E17" s="1179">
        <v>111</v>
      </c>
      <c r="F17" s="1180">
        <v>109</v>
      </c>
      <c r="G17" s="345"/>
      <c r="H17" s="458">
        <f>SUM($E17:$G17)</f>
        <v>220</v>
      </c>
      <c r="I17" s="463">
        <v>80</v>
      </c>
      <c r="J17" s="474">
        <v>83</v>
      </c>
      <c r="K17" s="475">
        <v>80</v>
      </c>
      <c r="L17" s="458">
        <f>SUM($I17:$K17)</f>
        <v>243</v>
      </c>
      <c r="M17" s="460">
        <f>$H17+$L17</f>
        <v>463</v>
      </c>
      <c r="N17" s="620" t="str">
        <f t="shared" si="12"/>
        <v>NO</v>
      </c>
      <c r="O17" s="1264"/>
    </row>
    <row r="18" spans="1:15" ht="16.5">
      <c r="A18" s="501" t="s">
        <v>109</v>
      </c>
      <c r="B18" s="470">
        <v>1577</v>
      </c>
      <c r="C18" s="499" t="s">
        <v>5</v>
      </c>
      <c r="D18" s="561" t="s">
        <v>14</v>
      </c>
      <c r="E18" s="1178">
        <v>111</v>
      </c>
      <c r="F18" s="474">
        <v>117</v>
      </c>
      <c r="G18" s="1181"/>
      <c r="H18" s="458">
        <f>SUM($E18:$G18)</f>
        <v>228</v>
      </c>
      <c r="I18" s="463">
        <v>55</v>
      </c>
      <c r="J18" s="474">
        <v>81</v>
      </c>
      <c r="K18" s="475">
        <v>89</v>
      </c>
      <c r="L18" s="458">
        <f>SUM($I18:$K18)</f>
        <v>225</v>
      </c>
      <c r="M18" s="460">
        <f>$H18+$L18</f>
        <v>453</v>
      </c>
      <c r="N18" s="620" t="str">
        <f t="shared" ref="N18" si="13">IF(M18&gt;509,"Yes","NO")</f>
        <v>NO</v>
      </c>
      <c r="O18" s="1264"/>
    </row>
    <row r="19" spans="1:15" ht="17.25" thickBot="1">
      <c r="A19" s="812" t="s">
        <v>254</v>
      </c>
      <c r="B19" s="822">
        <v>2502</v>
      </c>
      <c r="C19" s="1266" t="s">
        <v>5</v>
      </c>
      <c r="D19" s="1267" t="s">
        <v>14</v>
      </c>
      <c r="E19" s="1268">
        <v>43</v>
      </c>
      <c r="F19" s="1269">
        <v>50</v>
      </c>
      <c r="G19" s="1064"/>
      <c r="H19" s="702">
        <f>SUM($E19:$G19)</f>
        <v>93</v>
      </c>
      <c r="I19" s="483">
        <v>23</v>
      </c>
      <c r="J19" s="1169">
        <v>72</v>
      </c>
      <c r="K19" s="1172">
        <v>44</v>
      </c>
      <c r="L19" s="702">
        <f>SUM($I19:$K19)</f>
        <v>139</v>
      </c>
      <c r="M19" s="488">
        <f>$H19+$L19</f>
        <v>232</v>
      </c>
      <c r="N19" s="575" t="str">
        <f t="shared" ref="N19" si="14">IF(M19&gt;509,"Yes","NO")</f>
        <v>NO</v>
      </c>
      <c r="O19" s="1264"/>
    </row>
    <row r="20" spans="1:15" ht="24" thickBot="1">
      <c r="A20" s="506" t="s">
        <v>85</v>
      </c>
      <c r="B20" s="1480" t="s">
        <v>138</v>
      </c>
      <c r="C20" s="1481"/>
      <c r="D20" s="1481"/>
      <c r="E20" s="1481"/>
      <c r="F20" s="1481"/>
      <c r="G20" s="1481"/>
      <c r="H20" s="1481"/>
      <c r="I20" s="1481"/>
      <c r="J20" s="1481"/>
      <c r="K20" s="1481"/>
      <c r="L20" s="1481"/>
      <c r="M20" s="1482"/>
      <c r="N20" s="507"/>
      <c r="O20" s="508"/>
    </row>
    <row r="22" spans="1:15" ht="15.75" thickBot="1"/>
    <row r="23" spans="1:15" ht="21" thickBot="1">
      <c r="A23" s="1477" t="s">
        <v>189</v>
      </c>
      <c r="B23" s="1478"/>
      <c r="C23" s="1478"/>
      <c r="D23" s="1478"/>
      <c r="E23" s="1478"/>
      <c r="F23" s="1478"/>
      <c r="G23" s="1478"/>
      <c r="H23" s="1478"/>
      <c r="I23" s="1478"/>
      <c r="J23" s="1478"/>
      <c r="K23" s="1478"/>
      <c r="L23" s="1478"/>
      <c r="M23" s="1478"/>
      <c r="N23" s="1478"/>
      <c r="O23" s="1479"/>
    </row>
    <row r="24" spans="1:15" ht="36">
      <c r="A24" s="993" t="s">
        <v>19</v>
      </c>
      <c r="B24" s="519" t="s">
        <v>18</v>
      </c>
      <c r="C24" s="449" t="s">
        <v>124</v>
      </c>
      <c r="D24" s="450" t="s">
        <v>20</v>
      </c>
      <c r="E24" s="704" t="s">
        <v>125</v>
      </c>
      <c r="F24" s="705" t="s">
        <v>126</v>
      </c>
      <c r="G24" s="449" t="s">
        <v>127</v>
      </c>
      <c r="H24" s="451" t="s">
        <v>128</v>
      </c>
      <c r="I24" s="704" t="s">
        <v>129</v>
      </c>
      <c r="J24" s="705" t="s">
        <v>130</v>
      </c>
      <c r="K24" s="706" t="s">
        <v>131</v>
      </c>
      <c r="L24" s="707" t="s">
        <v>128</v>
      </c>
      <c r="M24" s="749" t="s">
        <v>23</v>
      </c>
      <c r="N24" s="747"/>
      <c r="O24" s="747"/>
    </row>
    <row r="25" spans="1:15" ht="18.75" thickBot="1">
      <c r="A25" s="1006" t="s">
        <v>139</v>
      </c>
      <c r="B25" s="1008">
        <v>1809</v>
      </c>
      <c r="C25" s="555" t="s">
        <v>3</v>
      </c>
      <c r="D25" s="583" t="s">
        <v>9</v>
      </c>
      <c r="E25" s="1005">
        <v>142</v>
      </c>
      <c r="F25" s="484">
        <v>138</v>
      </c>
      <c r="G25" s="701"/>
      <c r="H25" s="702">
        <f>SUM($E25:$G25)</f>
        <v>280</v>
      </c>
      <c r="I25" s="1005">
        <v>77</v>
      </c>
      <c r="J25" s="484">
        <v>76</v>
      </c>
      <c r="K25" s="701">
        <v>88</v>
      </c>
      <c r="L25" s="1012">
        <f>SUM($I25:$K25)</f>
        <v>241</v>
      </c>
      <c r="M25" s="540">
        <f>$H25+$L25</f>
        <v>521</v>
      </c>
      <c r="N25" s="748"/>
      <c r="O25" s="748"/>
    </row>
    <row r="26" spans="1:15" ht="18">
      <c r="A26" s="1007" t="s">
        <v>140</v>
      </c>
      <c r="B26" s="1009">
        <v>1143</v>
      </c>
      <c r="C26" s="499" t="s">
        <v>5</v>
      </c>
      <c r="D26" s="631" t="s">
        <v>9</v>
      </c>
      <c r="E26" s="490">
        <v>129</v>
      </c>
      <c r="F26" s="474">
        <v>133</v>
      </c>
      <c r="G26" s="491"/>
      <c r="H26" s="492">
        <f>SUM($E26:$G26)</f>
        <v>262</v>
      </c>
      <c r="I26" s="1165">
        <v>79</v>
      </c>
      <c r="J26" s="1166">
        <v>82</v>
      </c>
      <c r="K26" s="468">
        <v>88</v>
      </c>
      <c r="L26" s="1218">
        <f>SUM($I26:$K26)</f>
        <v>249</v>
      </c>
      <c r="M26" s="573">
        <f>$H26+$L26</f>
        <v>511</v>
      </c>
      <c r="N26" s="748"/>
      <c r="O26" s="748"/>
    </row>
    <row r="27" spans="1:15" ht="18">
      <c r="A27" s="1007" t="s">
        <v>211</v>
      </c>
      <c r="B27" s="1009">
        <v>2521</v>
      </c>
      <c r="C27" s="499" t="s">
        <v>5</v>
      </c>
      <c r="D27" s="631" t="s">
        <v>9</v>
      </c>
      <c r="E27" s="490">
        <v>111</v>
      </c>
      <c r="F27" s="474">
        <v>118</v>
      </c>
      <c r="G27" s="491"/>
      <c r="H27" s="458">
        <f>SUM($E27:$G27)</f>
        <v>229</v>
      </c>
      <c r="I27" s="463">
        <v>82</v>
      </c>
      <c r="J27" s="456">
        <v>95</v>
      </c>
      <c r="K27" s="1270">
        <v>92</v>
      </c>
      <c r="L27" s="821">
        <f>SUM($I27:$K27)</f>
        <v>269</v>
      </c>
      <c r="M27" s="1013">
        <f>$H27+$L27</f>
        <v>498</v>
      </c>
      <c r="N27" s="748"/>
      <c r="O27" s="748"/>
    </row>
    <row r="28" spans="1:15" ht="18.75" thickBot="1">
      <c r="A28" s="1007" t="s">
        <v>190</v>
      </c>
      <c r="B28" s="1010">
        <v>1054</v>
      </c>
      <c r="C28" s="499" t="s">
        <v>5</v>
      </c>
      <c r="D28" s="1011" t="s">
        <v>9</v>
      </c>
      <c r="E28" s="490">
        <v>102</v>
      </c>
      <c r="F28" s="474">
        <v>119</v>
      </c>
      <c r="G28" s="491"/>
      <c r="H28" s="702">
        <f>SUM($E28:$G28)</f>
        <v>221</v>
      </c>
      <c r="I28" s="483">
        <v>61</v>
      </c>
      <c r="J28" s="484">
        <v>75</v>
      </c>
      <c r="K28" s="1271">
        <v>82</v>
      </c>
      <c r="L28" s="1012">
        <f>SUM($I28:$K28)</f>
        <v>218</v>
      </c>
      <c r="M28" s="540">
        <f>$H28+$L28</f>
        <v>439</v>
      </c>
      <c r="N28" s="748"/>
      <c r="O28" s="748"/>
    </row>
    <row r="29" spans="1:15" ht="24" thickBot="1">
      <c r="A29" s="506" t="s">
        <v>85</v>
      </c>
      <c r="B29" s="1486" t="s">
        <v>138</v>
      </c>
      <c r="C29" s="1487"/>
      <c r="D29" s="1487"/>
      <c r="E29" s="1487"/>
      <c r="F29" s="1487"/>
      <c r="G29" s="1487"/>
      <c r="H29" s="1481"/>
      <c r="I29" s="1481"/>
      <c r="J29" s="1481"/>
      <c r="K29" s="1481"/>
      <c r="L29" s="1481"/>
      <c r="M29" s="1482"/>
      <c r="N29" s="516"/>
      <c r="O29" s="516"/>
    </row>
    <row r="31" spans="1:15" ht="15.75" thickBot="1"/>
    <row r="32" spans="1:15" ht="21" thickBot="1">
      <c r="A32" s="1477" t="s">
        <v>188</v>
      </c>
      <c r="B32" s="1478"/>
      <c r="C32" s="1478"/>
      <c r="D32" s="1478"/>
      <c r="E32" s="1478"/>
      <c r="F32" s="1478"/>
      <c r="G32" s="1478"/>
      <c r="H32" s="1478"/>
      <c r="I32" s="1478"/>
      <c r="J32" s="517"/>
    </row>
    <row r="33" spans="1:15" ht="26.25" thickBot="1">
      <c r="A33" s="518" t="s">
        <v>19</v>
      </c>
      <c r="B33" s="519" t="s">
        <v>18</v>
      </c>
      <c r="C33" s="449" t="s">
        <v>124</v>
      </c>
      <c r="D33" s="450" t="s">
        <v>20</v>
      </c>
      <c r="E33" s="143" t="s">
        <v>125</v>
      </c>
      <c r="F33" s="24" t="s">
        <v>126</v>
      </c>
      <c r="G33" s="24" t="s">
        <v>141</v>
      </c>
      <c r="H33" s="520" t="s">
        <v>128</v>
      </c>
      <c r="I33" s="22" t="s">
        <v>129</v>
      </c>
      <c r="J33" s="23" t="s">
        <v>130</v>
      </c>
      <c r="K33" s="24" t="s">
        <v>131</v>
      </c>
      <c r="L33" s="520" t="s">
        <v>128</v>
      </c>
      <c r="M33" s="521" t="s">
        <v>23</v>
      </c>
      <c r="N33" s="522" t="s">
        <v>132</v>
      </c>
      <c r="O33" s="523" t="s">
        <v>133</v>
      </c>
    </row>
    <row r="34" spans="1:15" ht="18.75">
      <c r="A34" s="465" t="s">
        <v>206</v>
      </c>
      <c r="B34" s="577">
        <v>169</v>
      </c>
      <c r="C34" s="524" t="s">
        <v>3</v>
      </c>
      <c r="D34" s="467" t="s">
        <v>7</v>
      </c>
      <c r="E34" s="525">
        <v>126</v>
      </c>
      <c r="F34" s="525">
        <v>127</v>
      </c>
      <c r="G34" s="242"/>
      <c r="H34" s="97">
        <f>SUM($E34:$G34)</f>
        <v>253</v>
      </c>
      <c r="I34" s="926">
        <v>80</v>
      </c>
      <c r="J34" s="34">
        <v>83</v>
      </c>
      <c r="K34" s="579">
        <v>84</v>
      </c>
      <c r="L34" s="97">
        <f>SUM($I34:$K34)</f>
        <v>247</v>
      </c>
      <c r="M34" s="521">
        <f>$H34+$L34</f>
        <v>500</v>
      </c>
      <c r="N34" s="1488"/>
      <c r="O34" s="1489"/>
    </row>
    <row r="35" spans="1:15" ht="19.5" thickBot="1">
      <c r="A35" s="501" t="s">
        <v>53</v>
      </c>
      <c r="B35" s="502">
        <v>2434</v>
      </c>
      <c r="C35" s="531" t="s">
        <v>3</v>
      </c>
      <c r="D35" s="472" t="s">
        <v>9</v>
      </c>
      <c r="E35" s="1051">
        <v>120</v>
      </c>
      <c r="F35" s="1051">
        <v>126</v>
      </c>
      <c r="G35" s="1052"/>
      <c r="H35" s="528">
        <f>SUM($E35:$G35)</f>
        <v>246</v>
      </c>
      <c r="I35" s="1053">
        <v>77</v>
      </c>
      <c r="J35" s="787">
        <v>86</v>
      </c>
      <c r="K35" s="1054">
        <v>82</v>
      </c>
      <c r="L35" s="528">
        <f>SUM($I35:$K35)</f>
        <v>245</v>
      </c>
      <c r="M35" s="529">
        <f>$H35+$L35</f>
        <v>491</v>
      </c>
      <c r="N35" s="1490"/>
      <c r="O35" s="1491"/>
    </row>
    <row r="36" spans="1:15" ht="19.5" thickBot="1">
      <c r="A36" s="1023" t="s">
        <v>142</v>
      </c>
      <c r="B36" s="1055">
        <v>1281</v>
      </c>
      <c r="C36" s="1056" t="s">
        <v>4</v>
      </c>
      <c r="D36" s="1057" t="s">
        <v>7</v>
      </c>
      <c r="E36" s="972">
        <v>124</v>
      </c>
      <c r="F36" s="972">
        <v>131</v>
      </c>
      <c r="G36" s="1058"/>
      <c r="H36" s="793">
        <f t="shared" ref="H36:H38" si="15">SUM($E36:$G36)</f>
        <v>255</v>
      </c>
      <c r="I36" s="991">
        <v>88</v>
      </c>
      <c r="J36" s="855">
        <v>90</v>
      </c>
      <c r="K36" s="990">
        <v>95</v>
      </c>
      <c r="L36" s="793">
        <f t="shared" ref="L36:L38" si="16">SUM($I36:$K36)</f>
        <v>273</v>
      </c>
      <c r="M36" s="607">
        <f t="shared" ref="M36:M38" si="17">$H36+$L36</f>
        <v>528</v>
      </c>
      <c r="N36" s="548"/>
      <c r="O36" s="1059"/>
    </row>
    <row r="37" spans="1:15" ht="18.75">
      <c r="A37" s="465" t="s">
        <v>37</v>
      </c>
      <c r="B37" s="577">
        <v>1314</v>
      </c>
      <c r="C37" s="524" t="s">
        <v>5</v>
      </c>
      <c r="D37" s="467" t="s">
        <v>12</v>
      </c>
      <c r="E37" s="525">
        <v>105</v>
      </c>
      <c r="F37" s="525">
        <v>100</v>
      </c>
      <c r="G37" s="242"/>
      <c r="H37" s="526">
        <f>SUM($E37:$G37)</f>
        <v>205</v>
      </c>
      <c r="I37" s="1197">
        <v>78</v>
      </c>
      <c r="J37" s="34">
        <v>83</v>
      </c>
      <c r="K37" s="579">
        <v>68</v>
      </c>
      <c r="L37" s="526">
        <f>SUM($I37:$K37)</f>
        <v>229</v>
      </c>
      <c r="M37" s="527">
        <f>$H37+$L37</f>
        <v>434</v>
      </c>
      <c r="N37" s="1197"/>
      <c r="O37" s="1198"/>
    </row>
    <row r="38" spans="1:15" ht="19.5" thickBot="1">
      <c r="A38" s="1068" t="s">
        <v>89</v>
      </c>
      <c r="B38" s="1069">
        <v>1291</v>
      </c>
      <c r="C38" s="1282" t="s">
        <v>5</v>
      </c>
      <c r="D38" s="1283" t="s">
        <v>7</v>
      </c>
      <c r="E38" s="1284">
        <v>99</v>
      </c>
      <c r="F38" s="1064">
        <v>89</v>
      </c>
      <c r="G38" s="1268"/>
      <c r="H38" s="1070">
        <f t="shared" si="15"/>
        <v>188</v>
      </c>
      <c r="I38" s="733">
        <v>82</v>
      </c>
      <c r="J38" s="114">
        <v>45</v>
      </c>
      <c r="K38" s="731">
        <v>61</v>
      </c>
      <c r="L38" s="1070">
        <f t="shared" si="16"/>
        <v>188</v>
      </c>
      <c r="M38" s="1209">
        <f t="shared" si="17"/>
        <v>376</v>
      </c>
      <c r="N38" s="1285" t="str">
        <f>IF(M38&gt;509,"Yes","NO")</f>
        <v>NO</v>
      </c>
      <c r="O38" s="1286"/>
    </row>
    <row r="39" spans="1:15" ht="21.75" thickBot="1">
      <c r="A39" s="823" t="s">
        <v>85</v>
      </c>
      <c r="B39" s="1483" t="s">
        <v>138</v>
      </c>
      <c r="C39" s="1484"/>
      <c r="D39" s="1484"/>
      <c r="E39" s="1484"/>
      <c r="F39" s="1484"/>
      <c r="G39" s="1484"/>
      <c r="H39" s="1484"/>
      <c r="I39" s="1484"/>
      <c r="J39" s="1484"/>
      <c r="K39" s="1484"/>
      <c r="L39" s="1485"/>
    </row>
    <row r="41" spans="1:15" ht="15.75" thickBot="1"/>
    <row r="42" spans="1:15" ht="21" thickBot="1">
      <c r="A42" s="1477" t="s">
        <v>272</v>
      </c>
      <c r="B42" s="1478"/>
      <c r="C42" s="1478"/>
      <c r="D42" s="1478"/>
      <c r="E42" s="1478"/>
      <c r="F42" s="1478"/>
      <c r="G42" s="1478"/>
      <c r="H42" s="1478"/>
      <c r="I42" s="1478"/>
      <c r="J42" s="1478"/>
      <c r="K42" s="1478"/>
      <c r="L42" s="1478"/>
      <c r="M42" s="1478"/>
      <c r="N42" s="1478"/>
      <c r="O42" s="1479"/>
    </row>
    <row r="43" spans="1:15" ht="36.75" thickBot="1">
      <c r="A43" s="993" t="s">
        <v>19</v>
      </c>
      <c r="B43" s="519" t="s">
        <v>18</v>
      </c>
      <c r="C43" s="449" t="s">
        <v>124</v>
      </c>
      <c r="D43" s="450" t="s">
        <v>20</v>
      </c>
      <c r="E43" s="704" t="s">
        <v>125</v>
      </c>
      <c r="F43" s="705" t="s">
        <v>126</v>
      </c>
      <c r="G43" s="449" t="s">
        <v>127</v>
      </c>
      <c r="H43" s="451" t="s">
        <v>128</v>
      </c>
      <c r="I43" s="704" t="s">
        <v>129</v>
      </c>
      <c r="J43" s="705" t="s">
        <v>130</v>
      </c>
      <c r="K43" s="706" t="s">
        <v>131</v>
      </c>
      <c r="L43" s="707" t="s">
        <v>128</v>
      </c>
      <c r="M43" s="749" t="s">
        <v>23</v>
      </c>
      <c r="N43" s="747"/>
      <c r="O43" s="747"/>
    </row>
    <row r="44" spans="1:15" ht="18">
      <c r="A44" s="1213" t="s">
        <v>211</v>
      </c>
      <c r="B44" s="1214">
        <v>2521</v>
      </c>
      <c r="C44" s="498" t="s">
        <v>5</v>
      </c>
      <c r="D44" s="1215" t="s">
        <v>9</v>
      </c>
      <c r="E44" s="1216">
        <v>128</v>
      </c>
      <c r="F44" s="1166">
        <v>140</v>
      </c>
      <c r="G44" s="1217"/>
      <c r="H44" s="1164">
        <f>SUM($E44:$G44)</f>
        <v>268</v>
      </c>
      <c r="I44" s="1216">
        <v>89</v>
      </c>
      <c r="J44" s="1166">
        <v>93</v>
      </c>
      <c r="K44" s="1217">
        <v>95</v>
      </c>
      <c r="L44" s="1218">
        <f>SUM($I44:$K44)</f>
        <v>277</v>
      </c>
      <c r="M44" s="1219">
        <f>$H44+$L44</f>
        <v>545</v>
      </c>
      <c r="N44" s="748"/>
      <c r="O44" s="748"/>
    </row>
    <row r="45" spans="1:15" ht="18.75" thickBot="1">
      <c r="A45" s="1220" t="s">
        <v>220</v>
      </c>
      <c r="B45" s="1010">
        <v>1569</v>
      </c>
      <c r="C45" s="891" t="s">
        <v>5</v>
      </c>
      <c r="D45" s="1011" t="s">
        <v>9</v>
      </c>
      <c r="E45" s="1221">
        <v>128</v>
      </c>
      <c r="F45" s="1169">
        <v>127</v>
      </c>
      <c r="G45" s="1170"/>
      <c r="H45" s="702">
        <f>SUM($E45:$G45)</f>
        <v>255</v>
      </c>
      <c r="I45" s="1005">
        <v>94</v>
      </c>
      <c r="J45" s="484">
        <v>90</v>
      </c>
      <c r="K45" s="701">
        <v>83</v>
      </c>
      <c r="L45" s="1012">
        <f>SUM($I45:$K45)</f>
        <v>267</v>
      </c>
      <c r="M45" s="540">
        <f>$H45+$L45</f>
        <v>522</v>
      </c>
      <c r="N45" s="748"/>
      <c r="O45" s="748"/>
    </row>
    <row r="46" spans="1:15" ht="24" thickBot="1">
      <c r="A46" s="506" t="s">
        <v>85</v>
      </c>
      <c r="B46" s="1480" t="s">
        <v>138</v>
      </c>
      <c r="C46" s="1481"/>
      <c r="D46" s="1481"/>
      <c r="E46" s="1481"/>
      <c r="F46" s="1481"/>
      <c r="G46" s="1481"/>
      <c r="H46" s="1481"/>
      <c r="I46" s="1481"/>
      <c r="J46" s="1481"/>
      <c r="K46" s="1481"/>
      <c r="L46" s="1481"/>
      <c r="M46" s="1482"/>
      <c r="N46" s="516"/>
      <c r="O46" s="516"/>
    </row>
  </sheetData>
  <sortState ref="A36:M38">
    <sortCondition descending="1" ref="M36"/>
  </sortState>
  <mergeCells count="10">
    <mergeCell ref="A42:O42"/>
    <mergeCell ref="B46:M46"/>
    <mergeCell ref="A1:O1"/>
    <mergeCell ref="A23:O23"/>
    <mergeCell ref="B39:L39"/>
    <mergeCell ref="B29:M29"/>
    <mergeCell ref="A32:I32"/>
    <mergeCell ref="N34:O35"/>
    <mergeCell ref="A3:O3"/>
    <mergeCell ref="B20:M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52"/>
  <sheetViews>
    <sheetView topLeftCell="A38" workbookViewId="0">
      <selection activeCell="G40" sqref="G40"/>
    </sheetView>
  </sheetViews>
  <sheetFormatPr defaultRowHeight="15"/>
  <cols>
    <col min="1" max="1" width="4.28515625" customWidth="1"/>
    <col min="2" max="2" width="25.7109375" customWidth="1"/>
    <col min="15" max="15" width="6.85546875" customWidth="1"/>
    <col min="16" max="18" width="9.140625" hidden="1" customWidth="1"/>
  </cols>
  <sheetData>
    <row r="1" spans="1:18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1"/>
      <c r="O1" s="765"/>
      <c r="P1" s="887"/>
      <c r="Q1" s="887"/>
      <c r="R1" s="888"/>
    </row>
    <row r="2" spans="1:18" ht="16.5" thickBot="1">
      <c r="B2" s="542"/>
      <c r="C2" s="543"/>
      <c r="D2" s="542"/>
      <c r="H2" s="2"/>
      <c r="L2" s="544"/>
      <c r="M2" s="545"/>
    </row>
    <row r="3" spans="1:18" ht="21" thickBot="1">
      <c r="B3" s="1477" t="s">
        <v>186</v>
      </c>
      <c r="C3" s="1478"/>
      <c r="D3" s="1478"/>
      <c r="E3" s="1478"/>
      <c r="F3" s="1478"/>
      <c r="G3" s="1478"/>
      <c r="H3" s="1478"/>
      <c r="I3" s="1478"/>
      <c r="J3" s="1478"/>
      <c r="K3" s="1478"/>
      <c r="L3" s="1478"/>
      <c r="M3" s="1478"/>
      <c r="N3" s="1479"/>
    </row>
    <row r="4" spans="1:18" ht="26.25" thickBot="1">
      <c r="B4" s="546" t="s">
        <v>19</v>
      </c>
      <c r="C4" s="547" t="s">
        <v>18</v>
      </c>
      <c r="D4" s="511" t="s">
        <v>124</v>
      </c>
      <c r="E4" s="512" t="s">
        <v>20</v>
      </c>
      <c r="F4" s="548" t="s">
        <v>125</v>
      </c>
      <c r="G4" s="549" t="s">
        <v>126</v>
      </c>
      <c r="H4" s="549" t="s">
        <v>141</v>
      </c>
      <c r="I4" s="549" t="s">
        <v>143</v>
      </c>
      <c r="J4" s="549" t="s">
        <v>144</v>
      </c>
      <c r="K4" s="549" t="s">
        <v>145</v>
      </c>
      <c r="L4" s="550" t="s">
        <v>23</v>
      </c>
      <c r="M4" s="551" t="s">
        <v>132</v>
      </c>
      <c r="N4" s="552" t="s">
        <v>133</v>
      </c>
    </row>
    <row r="5" spans="1:18" ht="18.75">
      <c r="B5" s="628" t="s">
        <v>52</v>
      </c>
      <c r="C5" s="497">
        <v>2</v>
      </c>
      <c r="D5" s="496" t="s">
        <v>3</v>
      </c>
      <c r="E5" s="530" t="s">
        <v>7</v>
      </c>
      <c r="F5" s="202">
        <v>88</v>
      </c>
      <c r="G5" s="108">
        <v>89</v>
      </c>
      <c r="H5" s="108">
        <v>91</v>
      </c>
      <c r="I5" s="108">
        <v>94</v>
      </c>
      <c r="J5" s="108">
        <v>96</v>
      </c>
      <c r="K5" s="781">
        <v>98</v>
      </c>
      <c r="L5" s="811">
        <f>SUM(F5:K5)</f>
        <v>556</v>
      </c>
      <c r="M5" s="782"/>
      <c r="N5" s="783"/>
    </row>
    <row r="6" spans="1:18" ht="19.5" thickBot="1">
      <c r="B6" s="461" t="s">
        <v>53</v>
      </c>
      <c r="C6" s="460">
        <v>2434</v>
      </c>
      <c r="D6" s="453" t="s">
        <v>3</v>
      </c>
      <c r="E6" s="462" t="s">
        <v>9</v>
      </c>
      <c r="F6" s="197">
        <v>93</v>
      </c>
      <c r="G6" s="52">
        <v>90</v>
      </c>
      <c r="H6" s="52">
        <v>86</v>
      </c>
      <c r="I6" s="52">
        <v>93</v>
      </c>
      <c r="J6" s="52">
        <v>94</v>
      </c>
      <c r="K6" s="779">
        <v>93</v>
      </c>
      <c r="L6" s="554">
        <f t="shared" ref="L6" si="0">SUM(F6:K6)</f>
        <v>549</v>
      </c>
      <c r="M6" s="782"/>
      <c r="N6" s="783"/>
    </row>
    <row r="7" spans="1:18" ht="18.75">
      <c r="B7" s="465" t="s">
        <v>135</v>
      </c>
      <c r="C7" s="469">
        <v>1668</v>
      </c>
      <c r="D7" s="466" t="s">
        <v>4</v>
      </c>
      <c r="E7" s="467" t="s">
        <v>7</v>
      </c>
      <c r="F7" s="525">
        <v>91</v>
      </c>
      <c r="G7" s="34">
        <v>86</v>
      </c>
      <c r="H7" s="34">
        <v>90</v>
      </c>
      <c r="I7" s="34">
        <v>90</v>
      </c>
      <c r="J7" s="34">
        <v>93</v>
      </c>
      <c r="K7" s="778">
        <v>86</v>
      </c>
      <c r="L7" s="559">
        <f t="shared" ref="L7:L18" si="1">SUM(F7:K7)</f>
        <v>536</v>
      </c>
      <c r="M7" s="593" t="str">
        <f t="shared" ref="M7:M13" si="2">IF(L7&gt;559,"Yes","NO")</f>
        <v>NO</v>
      </c>
      <c r="N7" s="560" t="str">
        <f t="shared" ref="N7" si="3">IF(M7="Yes","M","")</f>
        <v/>
      </c>
    </row>
    <row r="8" spans="1:18" ht="18.75">
      <c r="B8" s="501" t="s">
        <v>134</v>
      </c>
      <c r="C8" s="476">
        <v>1281</v>
      </c>
      <c r="D8" s="471" t="s">
        <v>4</v>
      </c>
      <c r="E8" s="472" t="s">
        <v>7</v>
      </c>
      <c r="F8" s="135">
        <v>91</v>
      </c>
      <c r="G8" s="44">
        <v>89</v>
      </c>
      <c r="H8" s="44">
        <v>90</v>
      </c>
      <c r="I8" s="44">
        <v>87</v>
      </c>
      <c r="J8" s="44">
        <v>93</v>
      </c>
      <c r="K8" s="928">
        <v>84</v>
      </c>
      <c r="L8" s="553">
        <f t="shared" si="1"/>
        <v>534</v>
      </c>
      <c r="M8" s="557" t="str">
        <f t="shared" si="2"/>
        <v>NO</v>
      </c>
      <c r="N8" s="536"/>
    </row>
    <row r="9" spans="1:18" ht="18.75">
      <c r="B9" s="501" t="s">
        <v>146</v>
      </c>
      <c r="C9" s="476">
        <v>1310</v>
      </c>
      <c r="D9" s="471" t="s">
        <v>4</v>
      </c>
      <c r="E9" s="472" t="s">
        <v>12</v>
      </c>
      <c r="F9" s="135">
        <v>107</v>
      </c>
      <c r="G9" s="44">
        <v>104</v>
      </c>
      <c r="H9" s="44">
        <v>108</v>
      </c>
      <c r="I9" s="44">
        <v>106</v>
      </c>
      <c r="J9" s="44">
        <v>107</v>
      </c>
      <c r="K9" s="136"/>
      <c r="L9" s="553">
        <f t="shared" si="1"/>
        <v>532</v>
      </c>
      <c r="M9" s="557" t="str">
        <f t="shared" si="2"/>
        <v>NO</v>
      </c>
      <c r="N9" s="536"/>
    </row>
    <row r="10" spans="1:18" ht="18.75">
      <c r="B10" s="501" t="s">
        <v>247</v>
      </c>
      <c r="C10" s="476">
        <v>2218</v>
      </c>
      <c r="D10" s="471" t="s">
        <v>4</v>
      </c>
      <c r="E10" s="472" t="s">
        <v>7</v>
      </c>
      <c r="F10" s="135">
        <v>88</v>
      </c>
      <c r="G10" s="44">
        <v>89</v>
      </c>
      <c r="H10" s="44">
        <v>94</v>
      </c>
      <c r="I10" s="44">
        <v>84</v>
      </c>
      <c r="J10" s="44">
        <v>83</v>
      </c>
      <c r="K10" s="896">
        <v>85</v>
      </c>
      <c r="L10" s="553">
        <f t="shared" si="1"/>
        <v>523</v>
      </c>
      <c r="M10" s="557" t="str">
        <f t="shared" si="2"/>
        <v>NO</v>
      </c>
      <c r="N10" s="536"/>
    </row>
    <row r="11" spans="1:18" ht="18.75">
      <c r="B11" s="501" t="s">
        <v>206</v>
      </c>
      <c r="C11" s="476">
        <v>169</v>
      </c>
      <c r="D11" s="471" t="s">
        <v>4</v>
      </c>
      <c r="E11" s="472" t="s">
        <v>7</v>
      </c>
      <c r="F11" s="135">
        <v>93</v>
      </c>
      <c r="G11" s="44">
        <v>86</v>
      </c>
      <c r="H11" s="44">
        <v>81</v>
      </c>
      <c r="I11" s="44">
        <v>86</v>
      </c>
      <c r="J11" s="44">
        <v>88</v>
      </c>
      <c r="K11" s="136">
        <v>87</v>
      </c>
      <c r="L11" s="553">
        <f t="shared" si="1"/>
        <v>521</v>
      </c>
      <c r="M11" s="557" t="str">
        <f t="shared" si="2"/>
        <v>NO</v>
      </c>
      <c r="N11" s="536"/>
    </row>
    <row r="12" spans="1:18" ht="18.75">
      <c r="B12" s="461" t="s">
        <v>220</v>
      </c>
      <c r="C12" s="460">
        <v>1569</v>
      </c>
      <c r="D12" s="453" t="s">
        <v>4</v>
      </c>
      <c r="E12" s="462" t="s">
        <v>9</v>
      </c>
      <c r="F12" s="197">
        <v>72</v>
      </c>
      <c r="G12" s="52">
        <v>88</v>
      </c>
      <c r="H12" s="52">
        <v>79</v>
      </c>
      <c r="I12" s="52">
        <v>86</v>
      </c>
      <c r="J12" s="52">
        <v>82</v>
      </c>
      <c r="K12" s="830">
        <v>86</v>
      </c>
      <c r="L12" s="554">
        <f t="shared" si="1"/>
        <v>493</v>
      </c>
      <c r="M12" s="557" t="str">
        <f t="shared" si="2"/>
        <v>NO</v>
      </c>
      <c r="N12" s="1119"/>
    </row>
    <row r="13" spans="1:18" ht="19.5" thickBot="1">
      <c r="B13" s="812" t="s">
        <v>239</v>
      </c>
      <c r="C13" s="813">
        <v>909</v>
      </c>
      <c r="D13" s="1191" t="s">
        <v>4</v>
      </c>
      <c r="E13" s="721" t="s">
        <v>12</v>
      </c>
      <c r="F13" s="722">
        <v>94</v>
      </c>
      <c r="G13" s="114">
        <v>95</v>
      </c>
      <c r="H13" s="114">
        <v>94</v>
      </c>
      <c r="I13" s="114">
        <v>99</v>
      </c>
      <c r="J13" s="114">
        <v>91</v>
      </c>
      <c r="K13" s="723"/>
      <c r="L13" s="814">
        <f t="shared" si="1"/>
        <v>473</v>
      </c>
      <c r="M13" s="1120" t="str">
        <f t="shared" si="2"/>
        <v>NO</v>
      </c>
      <c r="N13" s="815"/>
    </row>
    <row r="14" spans="1:18" ht="18.75">
      <c r="B14" s="501" t="s">
        <v>240</v>
      </c>
      <c r="C14" s="469">
        <v>2039</v>
      </c>
      <c r="D14" s="471" t="s">
        <v>6</v>
      </c>
      <c r="E14" s="561" t="s">
        <v>12</v>
      </c>
      <c r="F14" s="135">
        <v>102</v>
      </c>
      <c r="G14" s="44">
        <v>104</v>
      </c>
      <c r="H14" s="44">
        <v>103</v>
      </c>
      <c r="I14" s="44">
        <v>103</v>
      </c>
      <c r="J14" s="44">
        <v>104</v>
      </c>
      <c r="K14" s="136"/>
      <c r="L14" s="885">
        <f t="shared" si="1"/>
        <v>516</v>
      </c>
      <c r="M14" s="564" t="str">
        <f>IF(L14&gt;529,"Yes","NO")</f>
        <v>NO</v>
      </c>
      <c r="N14" s="536"/>
    </row>
    <row r="15" spans="1:18" ht="18.75">
      <c r="B15" s="501" t="s">
        <v>102</v>
      </c>
      <c r="C15" s="476">
        <v>3623</v>
      </c>
      <c r="D15" s="471" t="s">
        <v>6</v>
      </c>
      <c r="E15" s="561" t="s">
        <v>7</v>
      </c>
      <c r="F15" s="135">
        <v>85</v>
      </c>
      <c r="G15" s="44">
        <v>85</v>
      </c>
      <c r="H15" s="44">
        <v>80</v>
      </c>
      <c r="I15" s="44">
        <v>87</v>
      </c>
      <c r="J15" s="44">
        <v>77</v>
      </c>
      <c r="K15" s="890">
        <v>87</v>
      </c>
      <c r="L15" s="886">
        <f t="shared" si="1"/>
        <v>501</v>
      </c>
      <c r="M15" s="564" t="str">
        <f t="shared" ref="M15" si="4">IF(L15&gt;529,"Yes","NO")</f>
        <v>NO</v>
      </c>
      <c r="N15" s="536"/>
    </row>
    <row r="16" spans="1:18" ht="18.75">
      <c r="B16" s="501" t="s">
        <v>194</v>
      </c>
      <c r="C16" s="476">
        <v>1628</v>
      </c>
      <c r="D16" s="499" t="s">
        <v>6</v>
      </c>
      <c r="E16" s="561" t="s">
        <v>12</v>
      </c>
      <c r="F16" s="135">
        <v>102</v>
      </c>
      <c r="G16" s="44">
        <v>97</v>
      </c>
      <c r="H16" s="44">
        <v>98</v>
      </c>
      <c r="I16" s="44">
        <v>91</v>
      </c>
      <c r="J16" s="44">
        <v>88</v>
      </c>
      <c r="K16" s="136"/>
      <c r="L16" s="886">
        <f t="shared" si="1"/>
        <v>476</v>
      </c>
      <c r="M16" s="564" t="str">
        <f t="shared" ref="M16" si="5">IF(L16&gt;529,"Yes","NO")</f>
        <v>NO</v>
      </c>
      <c r="N16" s="536" t="str">
        <f t="shared" ref="N16" si="6">IF(M16="Yes","G","")</f>
        <v/>
      </c>
    </row>
    <row r="17" spans="2:17" ht="18.75">
      <c r="B17" s="501" t="s">
        <v>275</v>
      </c>
      <c r="C17" s="476">
        <v>3608</v>
      </c>
      <c r="D17" s="499" t="s">
        <v>6</v>
      </c>
      <c r="E17" s="561" t="s">
        <v>2</v>
      </c>
      <c r="F17" s="135">
        <v>63</v>
      </c>
      <c r="G17" s="44">
        <v>81</v>
      </c>
      <c r="H17" s="44">
        <v>61</v>
      </c>
      <c r="I17" s="44">
        <v>78</v>
      </c>
      <c r="J17" s="44">
        <v>67</v>
      </c>
      <c r="K17" s="1190">
        <v>72</v>
      </c>
      <c r="L17" s="886">
        <f t="shared" si="1"/>
        <v>422</v>
      </c>
      <c r="M17" s="564" t="str">
        <f t="shared" ref="M17" si="7">IF(L17&gt;529,"Yes","NO")</f>
        <v>NO</v>
      </c>
      <c r="N17" s="536"/>
    </row>
    <row r="18" spans="2:17" ht="19.5" thickBot="1">
      <c r="B18" s="628" t="s">
        <v>55</v>
      </c>
      <c r="C18" s="497">
        <v>641</v>
      </c>
      <c r="D18" s="1232" t="s">
        <v>6</v>
      </c>
      <c r="E18" s="1250" t="s">
        <v>14</v>
      </c>
      <c r="F18" s="202">
        <v>64</v>
      </c>
      <c r="G18" s="108">
        <v>66</v>
      </c>
      <c r="H18" s="108">
        <v>64</v>
      </c>
      <c r="I18" s="108">
        <v>74</v>
      </c>
      <c r="J18" s="108">
        <v>64</v>
      </c>
      <c r="K18" s="781">
        <v>80</v>
      </c>
      <c r="L18" s="1251">
        <f t="shared" si="1"/>
        <v>412</v>
      </c>
      <c r="M18" s="1252" t="str">
        <f t="shared" ref="M18" si="8">IF(L18&gt;529,"Yes","NO")</f>
        <v>NO</v>
      </c>
      <c r="N18" s="558"/>
    </row>
    <row r="19" spans="2:17" ht="18.75">
      <c r="B19" s="816" t="s">
        <v>147</v>
      </c>
      <c r="C19" s="1253">
        <v>1964</v>
      </c>
      <c r="D19" s="819" t="s">
        <v>5</v>
      </c>
      <c r="E19" s="969" t="s">
        <v>12</v>
      </c>
      <c r="F19" s="562">
        <v>95</v>
      </c>
      <c r="G19" s="102">
        <v>91</v>
      </c>
      <c r="H19" s="102">
        <v>94</v>
      </c>
      <c r="I19" s="102">
        <v>93</v>
      </c>
      <c r="J19" s="102">
        <v>104</v>
      </c>
      <c r="K19" s="563"/>
      <c r="L19" s="1254">
        <f t="shared" ref="L19:L20" si="9">SUM(F19:K19)</f>
        <v>477</v>
      </c>
      <c r="M19" s="819" t="str">
        <f>IF(L19&gt;499,"Yes","NO")</f>
        <v>NO</v>
      </c>
      <c r="N19" s="820"/>
    </row>
    <row r="20" spans="2:17" ht="18.75">
      <c r="B20" s="537" t="s">
        <v>248</v>
      </c>
      <c r="C20" s="818">
        <v>1172</v>
      </c>
      <c r="D20" s="682" t="s">
        <v>5</v>
      </c>
      <c r="E20" s="495" t="s">
        <v>7</v>
      </c>
      <c r="F20" s="197">
        <v>65</v>
      </c>
      <c r="G20" s="52">
        <v>63</v>
      </c>
      <c r="H20" s="52">
        <v>60</v>
      </c>
      <c r="I20" s="52">
        <v>71</v>
      </c>
      <c r="J20" s="52">
        <v>75</v>
      </c>
      <c r="K20" s="830">
        <v>60</v>
      </c>
      <c r="L20" s="739">
        <f t="shared" si="9"/>
        <v>394</v>
      </c>
      <c r="M20" s="682" t="str">
        <f>IF(L20&gt;499,"Yes","NO")</f>
        <v>NO</v>
      </c>
      <c r="N20" s="821" t="str">
        <f>IF(M20="Yes","S","")</f>
        <v/>
      </c>
    </row>
    <row r="21" spans="2:17" ht="19.5" thickBot="1">
      <c r="B21" s="1068" t="s">
        <v>278</v>
      </c>
      <c r="C21" s="1255">
        <v>1890</v>
      </c>
      <c r="D21" s="1244" t="s">
        <v>5</v>
      </c>
      <c r="E21" s="892" t="s">
        <v>60</v>
      </c>
      <c r="F21" s="722">
        <v>59</v>
      </c>
      <c r="G21" s="114">
        <v>61</v>
      </c>
      <c r="H21" s="114">
        <v>69</v>
      </c>
      <c r="I21" s="114">
        <v>72</v>
      </c>
      <c r="J21" s="114">
        <v>68</v>
      </c>
      <c r="K21" s="723">
        <v>63</v>
      </c>
      <c r="L21" s="1256">
        <f t="shared" ref="L21" si="10">SUM(F21:K21)</f>
        <v>392</v>
      </c>
      <c r="M21" s="1246" t="str">
        <f>IF(L21&gt;499,"Yes","NO")</f>
        <v>NO</v>
      </c>
      <c r="N21" s="1257"/>
    </row>
    <row r="22" spans="2:17" ht="19.5" thickBot="1">
      <c r="B22" s="817" t="s">
        <v>85</v>
      </c>
      <c r="C22" s="1496" t="s">
        <v>148</v>
      </c>
      <c r="D22" s="1496"/>
      <c r="E22" s="1496"/>
      <c r="F22" s="1496"/>
      <c r="G22" s="1496"/>
      <c r="H22" s="1496"/>
      <c r="I22" s="1496"/>
      <c r="J22" s="1496"/>
      <c r="K22" s="1496"/>
      <c r="L22" s="1496"/>
      <c r="M22" s="1497"/>
    </row>
    <row r="24" spans="2:17" ht="15.75" thickBot="1"/>
    <row r="25" spans="2:17" ht="21" thickBot="1">
      <c r="B25" s="1477" t="s">
        <v>187</v>
      </c>
      <c r="C25" s="1478"/>
      <c r="D25" s="1478"/>
      <c r="E25" s="1478"/>
      <c r="F25" s="1478"/>
      <c r="G25" s="1478"/>
      <c r="H25" s="1478"/>
      <c r="I25" s="1478"/>
      <c r="J25" s="1478"/>
      <c r="K25" s="1478"/>
      <c r="L25" s="517"/>
      <c r="M25" s="545"/>
    </row>
    <row r="26" spans="2:17" ht="26.25" thickBot="1">
      <c r="B26" s="566" t="s">
        <v>19</v>
      </c>
      <c r="C26" s="519" t="s">
        <v>18</v>
      </c>
      <c r="D26" s="449" t="s">
        <v>124</v>
      </c>
      <c r="E26" s="450" t="s">
        <v>20</v>
      </c>
      <c r="F26" s="567" t="s">
        <v>125</v>
      </c>
      <c r="G26" s="568" t="s">
        <v>126</v>
      </c>
      <c r="H26" s="568" t="s">
        <v>141</v>
      </c>
      <c r="I26" s="568" t="s">
        <v>143</v>
      </c>
      <c r="J26" s="568" t="s">
        <v>144</v>
      </c>
      <c r="K26" s="568" t="s">
        <v>145</v>
      </c>
      <c r="L26" s="521" t="s">
        <v>23</v>
      </c>
      <c r="M26" s="569" t="s">
        <v>132</v>
      </c>
      <c r="N26" s="570" t="s">
        <v>133</v>
      </c>
    </row>
    <row r="27" spans="2:17" ht="19.5" thickBot="1">
      <c r="B27" s="1229" t="s">
        <v>139</v>
      </c>
      <c r="C27" s="1230">
        <v>1809</v>
      </c>
      <c r="D27" s="1231" t="s">
        <v>3</v>
      </c>
      <c r="E27" s="1203" t="s">
        <v>9</v>
      </c>
      <c r="F27" s="972">
        <v>84</v>
      </c>
      <c r="G27" s="855">
        <v>93</v>
      </c>
      <c r="H27" s="855">
        <v>90</v>
      </c>
      <c r="I27" s="855">
        <v>91</v>
      </c>
      <c r="J27" s="855">
        <v>91</v>
      </c>
      <c r="K27" s="974">
        <v>91</v>
      </c>
      <c r="L27" s="636">
        <f t="shared" ref="L27:L28" si="11">SUM(F27:K27)</f>
        <v>540</v>
      </c>
      <c r="M27" s="1492"/>
      <c r="N27" s="1493"/>
    </row>
    <row r="28" spans="2:17" ht="18.75" hidden="1">
      <c r="B28" s="1121" t="s">
        <v>79</v>
      </c>
      <c r="C28" s="1122">
        <v>1858</v>
      </c>
      <c r="D28" s="1123" t="s">
        <v>6</v>
      </c>
      <c r="E28" s="1075" t="s">
        <v>8</v>
      </c>
      <c r="F28" s="1076"/>
      <c r="G28" s="102"/>
      <c r="H28" s="102"/>
      <c r="I28" s="102"/>
      <c r="J28" s="102"/>
      <c r="K28" s="1077"/>
      <c r="L28" s="521">
        <f t="shared" si="11"/>
        <v>0</v>
      </c>
      <c r="M28" s="556" t="str">
        <f t="shared" ref="M28:M31" si="12">IF(L28&gt;529,"Yes","NO")</f>
        <v>NO</v>
      </c>
      <c r="N28" s="580" t="str">
        <f t="shared" ref="N28" si="13">IF(M28="Yes","G","")</f>
        <v/>
      </c>
      <c r="Q28" s="1"/>
    </row>
    <row r="29" spans="2:17" ht="18.75">
      <c r="B29" s="1211" t="s">
        <v>211</v>
      </c>
      <c r="C29" s="500">
        <v>2521</v>
      </c>
      <c r="D29" s="453" t="s">
        <v>6</v>
      </c>
      <c r="E29" s="495" t="s">
        <v>9</v>
      </c>
      <c r="F29" s="197">
        <v>88</v>
      </c>
      <c r="G29" s="52">
        <v>85</v>
      </c>
      <c r="H29" s="52">
        <v>78</v>
      </c>
      <c r="I29" s="52">
        <v>90</v>
      </c>
      <c r="J29" s="52">
        <v>85</v>
      </c>
      <c r="K29" s="830">
        <v>85</v>
      </c>
      <c r="L29" s="529">
        <f>SUM(F29:K29)</f>
        <v>511</v>
      </c>
      <c r="M29" s="557" t="s">
        <v>265</v>
      </c>
      <c r="N29" s="582" t="str">
        <f t="shared" ref="N29" si="14">IF(M29="Yes","S","")</f>
        <v/>
      </c>
    </row>
    <row r="30" spans="2:17" ht="19.5" thickBot="1">
      <c r="B30" s="1210" t="s">
        <v>137</v>
      </c>
      <c r="C30" s="1212">
        <v>1143</v>
      </c>
      <c r="D30" s="1191" t="s">
        <v>6</v>
      </c>
      <c r="E30" s="1011" t="s">
        <v>9</v>
      </c>
      <c r="F30" s="722">
        <v>75</v>
      </c>
      <c r="G30" s="114">
        <v>82</v>
      </c>
      <c r="H30" s="114">
        <v>78</v>
      </c>
      <c r="I30" s="114">
        <v>85</v>
      </c>
      <c r="J30" s="114">
        <v>87</v>
      </c>
      <c r="K30" s="723">
        <v>84</v>
      </c>
      <c r="L30" s="1209">
        <f>SUM(F30:K30)</f>
        <v>491</v>
      </c>
      <c r="M30" s="557" t="s">
        <v>265</v>
      </c>
      <c r="N30" s="580"/>
    </row>
    <row r="31" spans="2:17" ht="18.75">
      <c r="B31" s="1248" t="s">
        <v>213</v>
      </c>
      <c r="C31" s="1249">
        <v>2520</v>
      </c>
      <c r="D31" s="466" t="s">
        <v>5</v>
      </c>
      <c r="E31" s="1215" t="s">
        <v>9</v>
      </c>
      <c r="F31" s="525">
        <v>83</v>
      </c>
      <c r="G31" s="34">
        <v>78</v>
      </c>
      <c r="H31" s="34">
        <v>73</v>
      </c>
      <c r="I31" s="34">
        <v>74</v>
      </c>
      <c r="J31" s="34">
        <v>83</v>
      </c>
      <c r="K31" s="1189">
        <v>66</v>
      </c>
      <c r="L31" s="527">
        <f>SUM(F31:K31)</f>
        <v>457</v>
      </c>
      <c r="M31" s="556" t="str">
        <f t="shared" si="12"/>
        <v>NO</v>
      </c>
      <c r="N31" s="580"/>
    </row>
    <row r="32" spans="2:17" ht="18.75">
      <c r="B32" s="1211" t="s">
        <v>190</v>
      </c>
      <c r="C32" s="500">
        <v>1054</v>
      </c>
      <c r="D32" s="453" t="s">
        <v>5</v>
      </c>
      <c r="E32" s="495" t="s">
        <v>9</v>
      </c>
      <c r="F32" s="135">
        <v>62</v>
      </c>
      <c r="G32" s="44">
        <v>53</v>
      </c>
      <c r="H32" s="44">
        <v>50</v>
      </c>
      <c r="I32" s="44">
        <v>71</v>
      </c>
      <c r="J32" s="44">
        <v>47</v>
      </c>
      <c r="K32" s="1190">
        <v>63</v>
      </c>
      <c r="L32" s="532">
        <f>SUM(F32:K32)</f>
        <v>346</v>
      </c>
      <c r="M32" s="556" t="str">
        <f t="shared" ref="M32" si="15">IF(L32&gt;529,"Yes","NO")</f>
        <v>NO</v>
      </c>
      <c r="N32" s="580"/>
    </row>
    <row r="33" spans="2:15" ht="19.5" thickBot="1">
      <c r="B33" s="1208" t="s">
        <v>81</v>
      </c>
      <c r="C33" s="1212">
        <v>1984</v>
      </c>
      <c r="D33" s="1191" t="s">
        <v>5</v>
      </c>
      <c r="E33" s="1011" t="s">
        <v>14</v>
      </c>
      <c r="F33" s="722">
        <v>55</v>
      </c>
      <c r="G33" s="114">
        <v>66</v>
      </c>
      <c r="H33" s="114">
        <v>49</v>
      </c>
      <c r="I33" s="114">
        <v>52</v>
      </c>
      <c r="J33" s="114">
        <v>53</v>
      </c>
      <c r="K33" s="723">
        <v>48</v>
      </c>
      <c r="L33" s="534">
        <f>SUM(F33:K33)</f>
        <v>323</v>
      </c>
      <c r="M33" s="557" t="str">
        <f t="shared" ref="M33" si="16">IF(L33&gt;499,"Yes","NO")</f>
        <v>NO</v>
      </c>
      <c r="N33" s="580"/>
    </row>
    <row r="34" spans="2:15" ht="16.5" thickBot="1">
      <c r="B34" s="159" t="s">
        <v>85</v>
      </c>
      <c r="C34" s="1483" t="s">
        <v>148</v>
      </c>
      <c r="D34" s="1484"/>
      <c r="E34" s="1484"/>
      <c r="F34" s="1484"/>
      <c r="G34" s="1484"/>
      <c r="H34" s="1484"/>
      <c r="I34" s="1484"/>
      <c r="J34" s="1484"/>
      <c r="K34" s="1485"/>
      <c r="L34" s="586">
        <f>COUNTA(C27:C33)</f>
        <v>7</v>
      </c>
      <c r="N34" s="587"/>
    </row>
    <row r="36" spans="2:15" ht="15.75" thickBot="1"/>
    <row r="37" spans="2:15" ht="21" thickBot="1">
      <c r="B37" s="1477" t="s">
        <v>149</v>
      </c>
      <c r="C37" s="1494"/>
      <c r="D37" s="1494"/>
      <c r="E37" s="1494"/>
      <c r="F37" s="1478"/>
      <c r="G37" s="1478"/>
      <c r="H37" s="1478"/>
      <c r="I37" s="1478"/>
      <c r="J37" s="1478"/>
      <c r="K37" s="1478"/>
      <c r="L37" s="1478"/>
      <c r="M37" s="517"/>
      <c r="N37" s="588"/>
      <c r="O37" s="12"/>
    </row>
    <row r="38" spans="2:15" ht="39" thickBot="1">
      <c r="B38" s="546" t="s">
        <v>19</v>
      </c>
      <c r="C38" s="589" t="s">
        <v>18</v>
      </c>
      <c r="D38" s="590" t="s">
        <v>150</v>
      </c>
      <c r="E38" s="591" t="s">
        <v>124</v>
      </c>
      <c r="F38" s="592" t="s">
        <v>20</v>
      </c>
      <c r="G38" s="567" t="s">
        <v>125</v>
      </c>
      <c r="H38" s="568" t="s">
        <v>126</v>
      </c>
      <c r="I38" s="568" t="s">
        <v>141</v>
      </c>
      <c r="J38" s="568" t="s">
        <v>143</v>
      </c>
      <c r="K38" s="568" t="s">
        <v>144</v>
      </c>
      <c r="L38" s="568" t="s">
        <v>145</v>
      </c>
      <c r="M38" s="521" t="s">
        <v>23</v>
      </c>
      <c r="N38" s="569" t="s">
        <v>132</v>
      </c>
      <c r="O38" s="570" t="s">
        <v>133</v>
      </c>
    </row>
    <row r="39" spans="2:15" ht="19.5" thickBot="1">
      <c r="B39" s="618" t="s">
        <v>152</v>
      </c>
      <c r="C39" s="1082">
        <v>2521</v>
      </c>
      <c r="D39" s="1083" t="s">
        <v>151</v>
      </c>
      <c r="E39" s="1084" t="s">
        <v>6</v>
      </c>
      <c r="F39" s="1057" t="s">
        <v>9</v>
      </c>
      <c r="G39" s="972">
        <v>88</v>
      </c>
      <c r="H39" s="855">
        <v>85</v>
      </c>
      <c r="I39" s="855">
        <v>78</v>
      </c>
      <c r="J39" s="855">
        <v>90</v>
      </c>
      <c r="K39" s="855">
        <v>85</v>
      </c>
      <c r="L39" s="974">
        <v>85</v>
      </c>
      <c r="M39" s="636">
        <f>SUM(G39:L39)</f>
        <v>511</v>
      </c>
      <c r="N39" s="1243" t="str">
        <f>IF(M39&gt;529,"Yes","NO")</f>
        <v>NO</v>
      </c>
      <c r="O39" s="1247"/>
    </row>
    <row r="40" spans="2:15" ht="18.75">
      <c r="B40" s="1233" t="s">
        <v>203</v>
      </c>
      <c r="C40" s="1234">
        <v>2520</v>
      </c>
      <c r="D40" s="1235" t="s">
        <v>151</v>
      </c>
      <c r="E40" s="1236" t="s">
        <v>5</v>
      </c>
      <c r="F40" s="467" t="s">
        <v>9</v>
      </c>
      <c r="G40" s="525">
        <v>83</v>
      </c>
      <c r="H40" s="34">
        <v>78</v>
      </c>
      <c r="I40" s="34">
        <v>73</v>
      </c>
      <c r="J40" s="34">
        <v>74</v>
      </c>
      <c r="K40" s="34">
        <v>83</v>
      </c>
      <c r="L40" s="1189">
        <v>66</v>
      </c>
      <c r="M40" s="713">
        <f>SUM(G40:L40)</f>
        <v>457</v>
      </c>
      <c r="N40" s="1245" t="str">
        <f>IF(M40&gt;529,"Yes","NO")</f>
        <v>NO</v>
      </c>
      <c r="O40" s="1164"/>
    </row>
    <row r="41" spans="2:15" ht="19.5" thickBot="1">
      <c r="B41" s="1124" t="s">
        <v>81</v>
      </c>
      <c r="C41" s="1125">
        <v>1984</v>
      </c>
      <c r="D41" s="720" t="s">
        <v>151</v>
      </c>
      <c r="E41" s="1126" t="s">
        <v>5</v>
      </c>
      <c r="F41" s="721" t="s">
        <v>14</v>
      </c>
      <c r="G41" s="722">
        <v>55</v>
      </c>
      <c r="H41" s="114">
        <v>66</v>
      </c>
      <c r="I41" s="114">
        <v>49</v>
      </c>
      <c r="J41" s="114">
        <v>52</v>
      </c>
      <c r="K41" s="114">
        <v>53</v>
      </c>
      <c r="L41" s="723">
        <v>48</v>
      </c>
      <c r="M41" s="740">
        <f>SUM(G41:L41)</f>
        <v>323</v>
      </c>
      <c r="N41" s="1244" t="str">
        <f>IF(M41&gt;529,"Yes","NO")</f>
        <v>NO</v>
      </c>
      <c r="O41" s="1171"/>
    </row>
    <row r="42" spans="2:15" ht="18.75" customHeight="1" thickBot="1">
      <c r="B42" s="1498"/>
      <c r="C42" s="1499"/>
      <c r="D42" s="1499"/>
      <c r="E42" s="1499"/>
      <c r="F42" s="1499"/>
      <c r="G42" s="1499"/>
      <c r="H42" s="1499"/>
      <c r="I42" s="1499"/>
      <c r="J42" s="1499"/>
      <c r="K42" s="1499"/>
      <c r="L42" s="1499"/>
      <c r="M42" s="1499"/>
      <c r="N42" s="1499"/>
      <c r="O42" s="1500"/>
    </row>
    <row r="43" spans="2:15" ht="19.5" thickBot="1">
      <c r="B43" s="1023" t="s">
        <v>276</v>
      </c>
      <c r="C43" s="1082">
        <v>2507</v>
      </c>
      <c r="D43" s="1083" t="s">
        <v>153</v>
      </c>
      <c r="E43" s="1084" t="s">
        <v>4</v>
      </c>
      <c r="F43" s="1057" t="s">
        <v>60</v>
      </c>
      <c r="G43" s="972">
        <v>86</v>
      </c>
      <c r="H43" s="855">
        <v>78</v>
      </c>
      <c r="I43" s="855">
        <v>66</v>
      </c>
      <c r="J43" s="855">
        <v>64</v>
      </c>
      <c r="K43" s="855">
        <v>66</v>
      </c>
      <c r="L43" s="974">
        <v>73</v>
      </c>
      <c r="M43" s="636">
        <f t="shared" ref="M43" si="17">SUM(G43:L43)</f>
        <v>433</v>
      </c>
      <c r="N43" s="1243" t="str">
        <f t="shared" ref="N43" si="18">IF(M43&gt;529,"Yes","NO")</f>
        <v>NO</v>
      </c>
      <c r="O43" s="1002"/>
    </row>
    <row r="44" spans="2:15" ht="18.75">
      <c r="B44" s="1233" t="s">
        <v>241</v>
      </c>
      <c r="C44" s="1234">
        <v>2517</v>
      </c>
      <c r="D44" s="1235"/>
      <c r="E44" s="1236" t="s">
        <v>6</v>
      </c>
      <c r="F44" s="467" t="s">
        <v>12</v>
      </c>
      <c r="G44" s="525">
        <v>106</v>
      </c>
      <c r="H44" s="34">
        <v>102</v>
      </c>
      <c r="I44" s="34">
        <v>106</v>
      </c>
      <c r="J44" s="34">
        <v>97</v>
      </c>
      <c r="K44" s="34">
        <v>98</v>
      </c>
      <c r="L44" s="1189"/>
      <c r="M44" s="713">
        <f t="shared" ref="M44" si="19">SUM(G44:L44)</f>
        <v>509</v>
      </c>
      <c r="N44" s="1245" t="str">
        <f t="shared" ref="N44" si="20">IF(M44&gt;529,"Yes","NO")</f>
        <v>NO</v>
      </c>
      <c r="O44" s="1164"/>
    </row>
    <row r="45" spans="2:15" ht="19.5" thickBot="1">
      <c r="B45" s="812" t="s">
        <v>277</v>
      </c>
      <c r="C45" s="1125">
        <v>1150</v>
      </c>
      <c r="D45" s="720" t="s">
        <v>153</v>
      </c>
      <c r="E45" s="1126" t="s">
        <v>6</v>
      </c>
      <c r="F45" s="721" t="s">
        <v>60</v>
      </c>
      <c r="G45" s="722">
        <v>82</v>
      </c>
      <c r="H45" s="114">
        <v>83</v>
      </c>
      <c r="I45" s="114">
        <v>81</v>
      </c>
      <c r="J45" s="114">
        <v>85</v>
      </c>
      <c r="K45" s="114">
        <v>80</v>
      </c>
      <c r="L45" s="723">
        <v>80</v>
      </c>
      <c r="M45" s="740">
        <f t="shared" ref="M45" si="21">SUM(G45:L45)</f>
        <v>491</v>
      </c>
      <c r="N45" s="1244" t="str">
        <f t="shared" ref="N45" si="22">IF(M45&gt;529,"Yes","NO")</f>
        <v>NO</v>
      </c>
      <c r="O45" s="702"/>
    </row>
    <row r="46" spans="2:15" ht="18.75">
      <c r="B46" s="501" t="s">
        <v>195</v>
      </c>
      <c r="C46" s="597">
        <v>1929</v>
      </c>
      <c r="D46" s="598" t="s">
        <v>153</v>
      </c>
      <c r="E46" s="599" t="s">
        <v>5</v>
      </c>
      <c r="F46" s="472" t="s">
        <v>60</v>
      </c>
      <c r="G46" s="135">
        <v>83</v>
      </c>
      <c r="H46" s="44">
        <v>84</v>
      </c>
      <c r="I46" s="44">
        <v>88</v>
      </c>
      <c r="J46" s="44">
        <v>82</v>
      </c>
      <c r="K46" s="44">
        <v>76</v>
      </c>
      <c r="L46" s="928">
        <v>73</v>
      </c>
      <c r="M46" s="785">
        <f>SUM(G46:L46)</f>
        <v>486</v>
      </c>
      <c r="N46" s="622" t="str">
        <f t="shared" ref="N46" si="23">IF(M46&gt;529,"Yes","NO")</f>
        <v>NO</v>
      </c>
      <c r="O46" s="492"/>
    </row>
    <row r="47" spans="2:15" ht="18.75">
      <c r="B47" s="724" t="s">
        <v>271</v>
      </c>
      <c r="C47" s="594">
        <v>2027</v>
      </c>
      <c r="D47" s="595" t="s">
        <v>153</v>
      </c>
      <c r="E47" s="596" t="s">
        <v>5</v>
      </c>
      <c r="F47" s="462" t="s">
        <v>60</v>
      </c>
      <c r="G47" s="197">
        <v>77</v>
      </c>
      <c r="H47" s="52">
        <v>69</v>
      </c>
      <c r="I47" s="52">
        <v>73</v>
      </c>
      <c r="J47" s="52">
        <v>76</v>
      </c>
      <c r="K47" s="52">
        <v>80</v>
      </c>
      <c r="L47" s="830">
        <v>84</v>
      </c>
      <c r="M47" s="694">
        <f>SUM(G47:L47)</f>
        <v>459</v>
      </c>
      <c r="N47" s="682" t="str">
        <f t="shared" ref="N47" si="24">IF(M47&gt;529,"Yes","NO")</f>
        <v>NO</v>
      </c>
      <c r="O47" s="492"/>
    </row>
    <row r="48" spans="2:15" ht="18.75">
      <c r="B48" s="1078" t="s">
        <v>192</v>
      </c>
      <c r="C48" s="1079">
        <v>1927</v>
      </c>
      <c r="D48" s="1080" t="s">
        <v>153</v>
      </c>
      <c r="E48" s="1081" t="s">
        <v>5</v>
      </c>
      <c r="F48" s="530" t="s">
        <v>60</v>
      </c>
      <c r="G48" s="202">
        <v>66</v>
      </c>
      <c r="H48" s="108">
        <v>80</v>
      </c>
      <c r="I48" s="108">
        <v>68</v>
      </c>
      <c r="J48" s="108">
        <v>73</v>
      </c>
      <c r="K48" s="108">
        <v>72</v>
      </c>
      <c r="L48" s="781">
        <v>70</v>
      </c>
      <c r="M48" s="600">
        <f>SUM(G48:L48)</f>
        <v>429</v>
      </c>
      <c r="N48" s="682" t="str">
        <f t="shared" ref="N48:N50" si="25">IF(M48&gt;529,"Yes","NO")</f>
        <v>NO</v>
      </c>
      <c r="O48" s="492"/>
    </row>
    <row r="49" spans="2:15" ht="18.75">
      <c r="B49" s="724" t="s">
        <v>242</v>
      </c>
      <c r="C49" s="594">
        <v>2513</v>
      </c>
      <c r="D49" s="595" t="s">
        <v>153</v>
      </c>
      <c r="E49" s="596" t="s">
        <v>5</v>
      </c>
      <c r="F49" s="462" t="s">
        <v>12</v>
      </c>
      <c r="G49" s="197">
        <v>79</v>
      </c>
      <c r="H49" s="52">
        <v>74</v>
      </c>
      <c r="I49" s="52">
        <v>74</v>
      </c>
      <c r="J49" s="52">
        <v>73</v>
      </c>
      <c r="K49" s="52">
        <v>79</v>
      </c>
      <c r="L49" s="830"/>
      <c r="M49" s="694">
        <f>SUM(G49:L49)</f>
        <v>379</v>
      </c>
      <c r="N49" s="682" t="str">
        <f t="shared" si="25"/>
        <v>NO</v>
      </c>
      <c r="O49" s="492"/>
    </row>
    <row r="50" spans="2:15" ht="19.5" thickBot="1">
      <c r="B50" s="601" t="s">
        <v>243</v>
      </c>
      <c r="C50" s="602" t="s">
        <v>212</v>
      </c>
      <c r="D50" s="720" t="s">
        <v>153</v>
      </c>
      <c r="E50" s="603" t="s">
        <v>5</v>
      </c>
      <c r="F50" s="482" t="s">
        <v>12</v>
      </c>
      <c r="G50" s="137">
        <v>59</v>
      </c>
      <c r="H50" s="61">
        <v>59</v>
      </c>
      <c r="I50" s="61">
        <v>71</v>
      </c>
      <c r="J50" s="61">
        <v>66</v>
      </c>
      <c r="K50" s="61">
        <v>62</v>
      </c>
      <c r="L50" s="138"/>
      <c r="M50" s="576">
        <f>SUM(G50:L50)</f>
        <v>317</v>
      </c>
      <c r="N50" s="1246" t="str">
        <f t="shared" si="25"/>
        <v>NO</v>
      </c>
      <c r="O50" s="1012"/>
    </row>
    <row r="51" spans="2:15" ht="19.5" thickBot="1">
      <c r="B51" s="565" t="s">
        <v>85</v>
      </c>
      <c r="C51" s="1495" t="s">
        <v>154</v>
      </c>
      <c r="D51" s="1496"/>
      <c r="E51" s="1496"/>
      <c r="F51" s="1496"/>
      <c r="G51" s="1496"/>
      <c r="H51" s="1496"/>
      <c r="I51" s="1496"/>
      <c r="J51" s="1496"/>
      <c r="K51" s="1496"/>
      <c r="L51" s="1496"/>
      <c r="M51" s="1497"/>
      <c r="N51" s="588"/>
      <c r="O51" s="12"/>
    </row>
    <row r="52" spans="2:15" ht="18.75">
      <c r="B52" s="5"/>
      <c r="C52" s="604"/>
      <c r="D52" s="604"/>
      <c r="E52" s="605"/>
      <c r="F52" s="12">
        <f>COUNTA(F39:F50)</f>
        <v>11</v>
      </c>
      <c r="G52" s="12"/>
      <c r="H52" s="12"/>
      <c r="I52" s="12"/>
      <c r="J52" s="12"/>
      <c r="K52" s="12"/>
      <c r="L52" s="12"/>
      <c r="M52" s="12"/>
      <c r="N52" s="12"/>
      <c r="O52" s="12"/>
    </row>
  </sheetData>
  <sortState ref="B40:M41">
    <sortCondition descending="1" ref="M40"/>
  </sortState>
  <mergeCells count="9">
    <mergeCell ref="A1:N1"/>
    <mergeCell ref="M27:N27"/>
    <mergeCell ref="C34:K34"/>
    <mergeCell ref="B37:L37"/>
    <mergeCell ref="C51:M51"/>
    <mergeCell ref="B3:N3"/>
    <mergeCell ref="C22:M22"/>
    <mergeCell ref="B25:K25"/>
    <mergeCell ref="B42:O42"/>
  </mergeCells>
  <hyperlinks>
    <hyperlink ref="L34" r:id="rId1" display="=@counta(C6:C18)"/>
  </hyperlinks>
  <pageMargins left="0.70866141732283472" right="0.70866141732283472" top="0.74803149606299213" bottom="0.74803149606299213" header="0.31496062992125984" footer="0.31496062992125984"/>
  <pageSetup paperSize="9" scale="75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opLeftCell="A19" workbookViewId="0">
      <selection activeCell="F33" sqref="F33"/>
    </sheetView>
  </sheetViews>
  <sheetFormatPr defaultRowHeight="15"/>
  <cols>
    <col min="1" max="1" width="27.85546875" customWidth="1"/>
    <col min="10" max="10" width="10.5703125" customWidth="1"/>
    <col min="11" max="11" width="4" customWidth="1"/>
    <col min="12" max="18" width="9.140625" hidden="1" customWidth="1"/>
  </cols>
  <sheetData>
    <row r="1" spans="1:18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1"/>
    </row>
    <row r="2" spans="1:18" ht="15.75" thickBot="1"/>
    <row r="3" spans="1:18" ht="21" thickBot="1">
      <c r="A3" s="1477" t="s">
        <v>266</v>
      </c>
      <c r="B3" s="1478"/>
      <c r="C3" s="1478"/>
      <c r="D3" s="1478"/>
      <c r="E3" s="1478"/>
      <c r="F3" s="1478"/>
      <c r="G3" s="1478"/>
      <c r="H3" s="1478"/>
      <c r="I3" s="1479"/>
      <c r="J3" s="606"/>
    </row>
    <row r="4" spans="1:18" ht="19.5" thickBot="1">
      <c r="A4" s="546" t="s">
        <v>19</v>
      </c>
      <c r="B4" s="510" t="s">
        <v>18</v>
      </c>
      <c r="C4" s="511" t="s">
        <v>124</v>
      </c>
      <c r="D4" s="512" t="s">
        <v>20</v>
      </c>
      <c r="E4" s="633" t="s">
        <v>125</v>
      </c>
      <c r="F4" s="627" t="s">
        <v>126</v>
      </c>
      <c r="G4" s="715" t="s">
        <v>141</v>
      </c>
      <c r="H4" s="715" t="s">
        <v>143</v>
      </c>
      <c r="I4" s="607" t="s">
        <v>23</v>
      </c>
      <c r="J4" s="608"/>
      <c r="K4" s="609"/>
    </row>
    <row r="5" spans="1:18" ht="18.75">
      <c r="A5" s="695" t="s">
        <v>135</v>
      </c>
      <c r="B5" s="934">
        <v>1668</v>
      </c>
      <c r="C5" s="610" t="s">
        <v>4</v>
      </c>
      <c r="D5" s="935" t="s">
        <v>7</v>
      </c>
      <c r="E5" s="34">
        <v>145</v>
      </c>
      <c r="F5" s="34">
        <v>158</v>
      </c>
      <c r="G5" s="34">
        <v>163</v>
      </c>
      <c r="H5" s="34"/>
      <c r="I5" s="936">
        <f t="shared" ref="I5:I14" si="0">SUM($E5:$H5)</f>
        <v>466</v>
      </c>
      <c r="J5" s="742"/>
      <c r="K5" s="711"/>
    </row>
    <row r="6" spans="1:18" ht="18.75">
      <c r="A6" s="716" t="s">
        <v>139</v>
      </c>
      <c r="B6" s="744">
        <v>1809</v>
      </c>
      <c r="C6" s="745" t="s">
        <v>4</v>
      </c>
      <c r="D6" s="898" t="s">
        <v>9</v>
      </c>
      <c r="E6" s="108">
        <v>151</v>
      </c>
      <c r="F6" s="108">
        <v>160</v>
      </c>
      <c r="G6" s="108">
        <v>149</v>
      </c>
      <c r="H6" s="108"/>
      <c r="I6" s="612">
        <f t="shared" si="0"/>
        <v>460</v>
      </c>
      <c r="J6" s="742"/>
      <c r="K6" s="711"/>
    </row>
    <row r="7" spans="1:18" ht="19.5" thickBot="1">
      <c r="A7" s="801" t="s">
        <v>247</v>
      </c>
      <c r="B7" s="937">
        <v>2218</v>
      </c>
      <c r="C7" s="938" t="s">
        <v>4</v>
      </c>
      <c r="D7" s="940" t="s">
        <v>7</v>
      </c>
      <c r="E7" s="61">
        <v>157</v>
      </c>
      <c r="F7" s="61">
        <v>143</v>
      </c>
      <c r="G7" s="61">
        <v>159</v>
      </c>
      <c r="H7" s="61"/>
      <c r="I7" s="939">
        <f t="shared" si="0"/>
        <v>459</v>
      </c>
      <c r="J7" s="140"/>
      <c r="K7" s="615"/>
    </row>
    <row r="8" spans="1:18" ht="18.75">
      <c r="A8" s="695" t="s">
        <v>206</v>
      </c>
      <c r="B8" s="934">
        <v>169</v>
      </c>
      <c r="C8" s="610" t="s">
        <v>5</v>
      </c>
      <c r="D8" s="935" t="s">
        <v>7</v>
      </c>
      <c r="E8" s="34">
        <v>159</v>
      </c>
      <c r="F8" s="34">
        <v>158</v>
      </c>
      <c r="G8" s="34">
        <v>148</v>
      </c>
      <c r="H8" s="34"/>
      <c r="I8" s="936">
        <f t="shared" si="0"/>
        <v>465</v>
      </c>
      <c r="J8" s="140"/>
      <c r="K8" s="615"/>
    </row>
    <row r="9" spans="1:18" ht="18.75">
      <c r="A9" s="537" t="s">
        <v>134</v>
      </c>
      <c r="B9" s="613">
        <v>1281</v>
      </c>
      <c r="C9" s="614" t="s">
        <v>5</v>
      </c>
      <c r="D9" s="515" t="s">
        <v>7</v>
      </c>
      <c r="E9" s="52">
        <v>150</v>
      </c>
      <c r="F9" s="52">
        <v>146</v>
      </c>
      <c r="G9" s="52">
        <v>137</v>
      </c>
      <c r="H9" s="52"/>
      <c r="I9" s="612">
        <f t="shared" si="0"/>
        <v>433</v>
      </c>
      <c r="J9" s="147"/>
      <c r="K9" s="615"/>
    </row>
    <row r="10" spans="1:18" ht="18.75">
      <c r="A10" s="537" t="s">
        <v>137</v>
      </c>
      <c r="B10" s="613">
        <v>1143</v>
      </c>
      <c r="C10" s="614" t="s">
        <v>5</v>
      </c>
      <c r="D10" s="515" t="s">
        <v>9</v>
      </c>
      <c r="E10" s="52">
        <v>122</v>
      </c>
      <c r="F10" s="52">
        <v>121</v>
      </c>
      <c r="G10" s="52">
        <v>137</v>
      </c>
      <c r="H10" s="52"/>
      <c r="I10" s="612">
        <f t="shared" si="0"/>
        <v>380</v>
      </c>
      <c r="J10" s="147"/>
      <c r="K10" s="615"/>
    </row>
    <row r="11" spans="1:18" ht="18.75">
      <c r="A11" s="537" t="s">
        <v>260</v>
      </c>
      <c r="B11" s="613">
        <v>3608</v>
      </c>
      <c r="C11" s="614" t="s">
        <v>5</v>
      </c>
      <c r="D11" s="515" t="s">
        <v>2</v>
      </c>
      <c r="E11" s="52">
        <v>117</v>
      </c>
      <c r="F11" s="52">
        <v>119</v>
      </c>
      <c r="G11" s="52">
        <v>126</v>
      </c>
      <c r="H11" s="52"/>
      <c r="I11" s="612">
        <f t="shared" si="0"/>
        <v>362</v>
      </c>
      <c r="J11" s="147"/>
      <c r="K11" s="615"/>
    </row>
    <row r="12" spans="1:18" ht="18.75">
      <c r="A12" s="537" t="s">
        <v>215</v>
      </c>
      <c r="B12" s="613">
        <v>1264</v>
      </c>
      <c r="C12" s="614" t="s">
        <v>5</v>
      </c>
      <c r="D12" s="515" t="s">
        <v>7</v>
      </c>
      <c r="E12" s="52">
        <v>108</v>
      </c>
      <c r="F12" s="52">
        <v>115</v>
      </c>
      <c r="G12" s="52">
        <v>105</v>
      </c>
      <c r="H12" s="52"/>
      <c r="I12" s="612">
        <f t="shared" si="0"/>
        <v>328</v>
      </c>
      <c r="J12" s="147"/>
      <c r="K12" s="615"/>
    </row>
    <row r="13" spans="1:18" ht="18.75">
      <c r="A13" s="537" t="s">
        <v>211</v>
      </c>
      <c r="B13" s="613">
        <v>2521</v>
      </c>
      <c r="C13" s="614" t="s">
        <v>5</v>
      </c>
      <c r="D13" s="515" t="s">
        <v>9</v>
      </c>
      <c r="E13" s="52">
        <v>114</v>
      </c>
      <c r="F13" s="52">
        <v>114</v>
      </c>
      <c r="G13" s="52">
        <v>95</v>
      </c>
      <c r="H13" s="52"/>
      <c r="I13" s="612">
        <f t="shared" si="0"/>
        <v>323</v>
      </c>
      <c r="J13" s="147"/>
      <c r="K13" s="615"/>
    </row>
    <row r="14" spans="1:18" ht="19.5" thickBot="1">
      <c r="A14" s="537" t="s">
        <v>205</v>
      </c>
      <c r="B14" s="613">
        <v>1291</v>
      </c>
      <c r="C14" s="614" t="s">
        <v>5</v>
      </c>
      <c r="D14" s="515" t="s">
        <v>7</v>
      </c>
      <c r="E14" s="52">
        <v>103</v>
      </c>
      <c r="F14" s="52">
        <v>90</v>
      </c>
      <c r="G14" s="52">
        <v>94</v>
      </c>
      <c r="H14" s="52"/>
      <c r="I14" s="612">
        <f t="shared" si="0"/>
        <v>287</v>
      </c>
      <c r="J14" s="616"/>
      <c r="K14" s="617"/>
    </row>
    <row r="15" spans="1:18" ht="19.5" thickBot="1">
      <c r="A15" s="743" t="s">
        <v>155</v>
      </c>
      <c r="B15" s="1504"/>
      <c r="C15" s="1505"/>
      <c r="D15" s="1505"/>
      <c r="E15" s="1505"/>
      <c r="F15" s="1505"/>
      <c r="G15" s="1505"/>
      <c r="H15" s="1505"/>
      <c r="I15" s="1506"/>
      <c r="J15" s="746"/>
      <c r="K15" s="746"/>
    </row>
    <row r="17" spans="1:13" ht="15.75" thickBot="1"/>
    <row r="18" spans="1:13" ht="21" thickBot="1">
      <c r="A18" s="1477" t="s">
        <v>267</v>
      </c>
      <c r="B18" s="1478"/>
      <c r="C18" s="1478"/>
      <c r="D18" s="1478"/>
      <c r="E18" s="1478"/>
      <c r="F18" s="1478"/>
      <c r="G18" s="1478"/>
      <c r="H18" s="1478"/>
      <c r="I18" s="1478"/>
      <c r="J18" s="517"/>
    </row>
    <row r="19" spans="1:13" ht="26.25" thickBot="1">
      <c r="A19" s="546" t="s">
        <v>19</v>
      </c>
      <c r="B19" s="510" t="s">
        <v>18</v>
      </c>
      <c r="C19" s="511" t="s">
        <v>124</v>
      </c>
      <c r="D19" s="512" t="s">
        <v>20</v>
      </c>
      <c r="E19" s="975" t="s">
        <v>156</v>
      </c>
      <c r="F19" s="635" t="s">
        <v>157</v>
      </c>
      <c r="G19" s="988" t="s">
        <v>127</v>
      </c>
      <c r="H19" s="607" t="s">
        <v>23</v>
      </c>
      <c r="I19" s="618" t="s">
        <v>132</v>
      </c>
      <c r="J19" s="552" t="s">
        <v>158</v>
      </c>
    </row>
    <row r="20" spans="1:13" s="1" customFormat="1" ht="18.75">
      <c r="A20" s="981" t="s">
        <v>61</v>
      </c>
      <c r="B20" s="982">
        <v>1809</v>
      </c>
      <c r="C20" s="983" t="s">
        <v>3</v>
      </c>
      <c r="D20" s="984" t="s">
        <v>9</v>
      </c>
      <c r="E20" s="985">
        <v>131</v>
      </c>
      <c r="F20" s="986">
        <v>141</v>
      </c>
      <c r="G20" s="987"/>
      <c r="H20" s="532">
        <f t="shared" ref="H20:H35" si="1">SUM(E20:G20)</f>
        <v>272</v>
      </c>
      <c r="I20" s="717"/>
      <c r="J20" s="718"/>
    </row>
    <row r="21" spans="1:13" s="1" customFormat="1" ht="18.75">
      <c r="A21" s="628" t="s">
        <v>159</v>
      </c>
      <c r="B21" s="673">
        <v>1668</v>
      </c>
      <c r="C21" s="496" t="s">
        <v>3</v>
      </c>
      <c r="D21" s="970" t="s">
        <v>7</v>
      </c>
      <c r="E21" s="202">
        <v>135</v>
      </c>
      <c r="F21" s="621">
        <v>117</v>
      </c>
      <c r="G21" s="781"/>
      <c r="H21" s="529">
        <f t="shared" si="1"/>
        <v>252</v>
      </c>
      <c r="I21" s="717"/>
      <c r="J21" s="718"/>
    </row>
    <row r="22" spans="1:13" ht="19.5" thickBot="1">
      <c r="A22" s="537" t="s">
        <v>199</v>
      </c>
      <c r="B22" s="802">
        <v>2</v>
      </c>
      <c r="C22" s="620" t="s">
        <v>3</v>
      </c>
      <c r="D22" s="535" t="s">
        <v>7</v>
      </c>
      <c r="E22" s="729">
        <v>120</v>
      </c>
      <c r="F22" s="624">
        <v>130</v>
      </c>
      <c r="G22" s="803"/>
      <c r="H22" s="694">
        <f t="shared" si="1"/>
        <v>250</v>
      </c>
      <c r="I22" s="433"/>
      <c r="J22" s="53" t="str">
        <f>IF(I22="Yes","M","")</f>
        <v/>
      </c>
    </row>
    <row r="23" spans="1:13" ht="18.75">
      <c r="A23" s="881" t="s">
        <v>247</v>
      </c>
      <c r="B23" s="971">
        <v>2218</v>
      </c>
      <c r="C23" s="571" t="s">
        <v>4</v>
      </c>
      <c r="D23" s="638" t="s">
        <v>7</v>
      </c>
      <c r="E23" s="525">
        <v>131</v>
      </c>
      <c r="F23" s="777">
        <v>119</v>
      </c>
      <c r="G23" s="894"/>
      <c r="H23" s="684">
        <f t="shared" si="1"/>
        <v>250</v>
      </c>
      <c r="I23" s="1062" t="str">
        <f t="shared" ref="I23" si="2">IF(H23&gt;279,"Yes","NO")</f>
        <v>NO</v>
      </c>
      <c r="J23" s="35" t="str">
        <f t="shared" ref="J23" si="3">IF(I23="Yes","M","")</f>
        <v/>
      </c>
    </row>
    <row r="24" spans="1:13" ht="18.75">
      <c r="A24" s="1025" t="s">
        <v>56</v>
      </c>
      <c r="B24" s="1060">
        <v>2138</v>
      </c>
      <c r="C24" s="572" t="s">
        <v>4</v>
      </c>
      <c r="D24" s="574" t="s">
        <v>9</v>
      </c>
      <c r="E24" s="135">
        <v>121</v>
      </c>
      <c r="F24" s="89">
        <v>122</v>
      </c>
      <c r="G24" s="928"/>
      <c r="H24" s="529">
        <f t="shared" si="1"/>
        <v>243</v>
      </c>
      <c r="I24" s="95" t="str">
        <f t="shared" ref="I24:I26" si="4">IF(H24&gt;279,"Yes","NO")</f>
        <v>NO</v>
      </c>
      <c r="J24" s="45"/>
    </row>
    <row r="25" spans="1:13" ht="18.75">
      <c r="A25" s="1025" t="s">
        <v>160</v>
      </c>
      <c r="B25" s="1060">
        <v>3623</v>
      </c>
      <c r="C25" s="572" t="s">
        <v>4</v>
      </c>
      <c r="D25" s="574" t="s">
        <v>7</v>
      </c>
      <c r="E25" s="135">
        <v>118</v>
      </c>
      <c r="F25" s="89">
        <v>121</v>
      </c>
      <c r="G25" s="928"/>
      <c r="H25" s="529">
        <f t="shared" si="1"/>
        <v>239</v>
      </c>
      <c r="I25" s="95" t="str">
        <f t="shared" ref="I25" si="5">IF(H25&gt;279,"Yes","NO")</f>
        <v>NO</v>
      </c>
      <c r="J25" s="45"/>
    </row>
    <row r="26" spans="1:13" ht="18.75">
      <c r="A26" s="327" t="s">
        <v>206</v>
      </c>
      <c r="B26" s="619">
        <v>169</v>
      </c>
      <c r="C26" s="620" t="s">
        <v>4</v>
      </c>
      <c r="D26" s="535" t="s">
        <v>7</v>
      </c>
      <c r="E26" s="197">
        <v>114</v>
      </c>
      <c r="F26" s="119">
        <v>122</v>
      </c>
      <c r="G26" s="830"/>
      <c r="H26" s="785">
        <f t="shared" si="1"/>
        <v>236</v>
      </c>
      <c r="I26" s="1061" t="str">
        <f t="shared" si="4"/>
        <v>NO</v>
      </c>
      <c r="J26" s="53"/>
    </row>
    <row r="27" spans="1:13" ht="18.75">
      <c r="A27" s="537" t="s">
        <v>142</v>
      </c>
      <c r="B27" s="619">
        <v>1281</v>
      </c>
      <c r="C27" s="682" t="s">
        <v>4</v>
      </c>
      <c r="D27" s="535" t="s">
        <v>7</v>
      </c>
      <c r="E27" s="197">
        <v>124</v>
      </c>
      <c r="F27" s="119">
        <v>110</v>
      </c>
      <c r="G27" s="830"/>
      <c r="H27" s="694">
        <f t="shared" si="1"/>
        <v>234</v>
      </c>
      <c r="I27" s="433" t="str">
        <f t="shared" ref="I27" si="6">IF(H27&gt;279,"Yes","NO")</f>
        <v>NO</v>
      </c>
      <c r="J27" s="53"/>
    </row>
    <row r="28" spans="1:13" ht="19.5" thickBot="1">
      <c r="A28" s="1063" t="s">
        <v>116</v>
      </c>
      <c r="B28" s="1064">
        <v>283</v>
      </c>
      <c r="C28" s="924" t="s">
        <v>4</v>
      </c>
      <c r="D28" s="925" t="s">
        <v>2</v>
      </c>
      <c r="E28" s="722">
        <v>119</v>
      </c>
      <c r="F28" s="1065">
        <v>113</v>
      </c>
      <c r="G28" s="723"/>
      <c r="H28" s="740">
        <f t="shared" si="1"/>
        <v>232</v>
      </c>
      <c r="I28" s="340" t="str">
        <f>IF(H28&gt;239,"Yes","NO")</f>
        <v>NO</v>
      </c>
      <c r="J28" s="1066"/>
      <c r="K28" s="629"/>
      <c r="L28" s="629"/>
      <c r="M28" s="538"/>
    </row>
    <row r="29" spans="1:13" ht="19.5" thickBot="1">
      <c r="A29" s="1202" t="s">
        <v>55</v>
      </c>
      <c r="B29" s="1205">
        <v>641</v>
      </c>
      <c r="C29" s="1085" t="s">
        <v>6</v>
      </c>
      <c r="D29" s="1206" t="s">
        <v>14</v>
      </c>
      <c r="E29" s="991">
        <v>122</v>
      </c>
      <c r="F29" s="973">
        <v>124</v>
      </c>
      <c r="G29" s="990"/>
      <c r="H29" s="607">
        <f t="shared" si="1"/>
        <v>246</v>
      </c>
      <c r="I29" s="145" t="str">
        <f t="shared" ref="I29:I30" si="7">IF(H29&gt;259,"Yes","NO")</f>
        <v>NO</v>
      </c>
      <c r="J29" s="1204"/>
      <c r="K29" s="629"/>
      <c r="L29" s="629"/>
      <c r="M29" s="538"/>
    </row>
    <row r="30" spans="1:13" ht="18.75">
      <c r="A30" s="501" t="s">
        <v>222</v>
      </c>
      <c r="B30" s="502">
        <v>1143</v>
      </c>
      <c r="C30" s="471" t="s">
        <v>5</v>
      </c>
      <c r="D30" s="489" t="s">
        <v>9</v>
      </c>
      <c r="E30" s="895">
        <v>114</v>
      </c>
      <c r="F30" s="89">
        <v>117</v>
      </c>
      <c r="G30" s="581"/>
      <c r="H30" s="532">
        <f t="shared" si="1"/>
        <v>231</v>
      </c>
      <c r="I30" s="134" t="str">
        <f t="shared" si="7"/>
        <v>NO</v>
      </c>
      <c r="J30" s="708"/>
      <c r="L30" s="538"/>
      <c r="M30" s="538"/>
    </row>
    <row r="31" spans="1:13" ht="18.75">
      <c r="A31" s="461" t="s">
        <v>220</v>
      </c>
      <c r="B31" s="976">
        <v>1569</v>
      </c>
      <c r="C31" s="494" t="s">
        <v>5</v>
      </c>
      <c r="D31" s="454" t="s">
        <v>9</v>
      </c>
      <c r="E31" s="710">
        <v>94</v>
      </c>
      <c r="F31" s="52">
        <v>110</v>
      </c>
      <c r="G31" s="371"/>
      <c r="H31" s="529">
        <f t="shared" si="1"/>
        <v>204</v>
      </c>
      <c r="I31" s="94" t="str">
        <f t="shared" ref="I31" si="8">IF(H31&gt;259,"Yes","NO")</f>
        <v>NO</v>
      </c>
      <c r="J31" s="625"/>
      <c r="L31" s="538"/>
      <c r="M31" s="538"/>
    </row>
    <row r="32" spans="1:13" ht="18.75">
      <c r="A32" s="461" t="s">
        <v>215</v>
      </c>
      <c r="B32" s="500">
        <v>1264</v>
      </c>
      <c r="C32" s="453" t="s">
        <v>5</v>
      </c>
      <c r="D32" s="495" t="s">
        <v>7</v>
      </c>
      <c r="E32" s="710">
        <v>135</v>
      </c>
      <c r="F32" s="119">
        <v>67</v>
      </c>
      <c r="G32" s="371"/>
      <c r="H32" s="529">
        <f t="shared" si="1"/>
        <v>202</v>
      </c>
      <c r="I32" s="94" t="str">
        <f t="shared" ref="I32" si="9">IF(H32&gt;259,"Yes","NO")</f>
        <v>NO</v>
      </c>
      <c r="J32" s="625"/>
      <c r="L32" s="538"/>
      <c r="M32" s="538"/>
    </row>
    <row r="33" spans="1:13" ht="18.75">
      <c r="A33" s="501" t="s">
        <v>221</v>
      </c>
      <c r="B33" s="630">
        <v>2521</v>
      </c>
      <c r="C33" s="499" t="s">
        <v>5</v>
      </c>
      <c r="D33" s="631" t="s">
        <v>9</v>
      </c>
      <c r="E33" s="895">
        <v>104</v>
      </c>
      <c r="F33" s="44">
        <v>91</v>
      </c>
      <c r="G33" s="581"/>
      <c r="H33" s="529">
        <f t="shared" si="1"/>
        <v>195</v>
      </c>
      <c r="I33" s="94" t="str">
        <f t="shared" ref="I33" si="10">IF(H33&gt;259,"Yes","NO")</f>
        <v>NO</v>
      </c>
      <c r="J33" s="708"/>
      <c r="L33" s="538"/>
      <c r="M33" s="538"/>
    </row>
    <row r="34" spans="1:13" ht="18.75">
      <c r="A34" s="501" t="s">
        <v>89</v>
      </c>
      <c r="B34" s="502">
        <v>1291</v>
      </c>
      <c r="C34" s="977" t="s">
        <v>5</v>
      </c>
      <c r="D34" s="978" t="s">
        <v>7</v>
      </c>
      <c r="E34" s="979">
        <v>111</v>
      </c>
      <c r="F34" s="980">
        <v>74</v>
      </c>
      <c r="G34" s="966"/>
      <c r="H34" s="529">
        <f t="shared" si="1"/>
        <v>185</v>
      </c>
      <c r="I34" s="94" t="str">
        <f t="shared" ref="I34" si="11">IF(H34&gt;259,"Yes","NO")</f>
        <v>NO</v>
      </c>
      <c r="J34" s="708"/>
      <c r="L34" s="538"/>
      <c r="M34" s="538"/>
    </row>
    <row r="35" spans="1:13" ht="19.5" thickBot="1">
      <c r="A35" s="501" t="s">
        <v>190</v>
      </c>
      <c r="B35" s="630">
        <v>1054</v>
      </c>
      <c r="C35" s="499" t="s">
        <v>5</v>
      </c>
      <c r="D35" s="631" t="s">
        <v>9</v>
      </c>
      <c r="E35" s="164">
        <v>81</v>
      </c>
      <c r="F35" s="44">
        <v>74</v>
      </c>
      <c r="G35" s="581"/>
      <c r="H35" s="532">
        <f t="shared" si="1"/>
        <v>155</v>
      </c>
      <c r="I35" s="433" t="str">
        <f t="shared" ref="I35" si="12">IF(H35&gt;239,"Yes","NO")</f>
        <v>NO</v>
      </c>
      <c r="J35" s="45"/>
      <c r="K35" s="629"/>
      <c r="L35" s="629"/>
      <c r="M35" s="538"/>
    </row>
    <row r="36" spans="1:13" ht="19.5" thickBot="1">
      <c r="A36" s="626" t="s">
        <v>32</v>
      </c>
      <c r="B36" s="1501" t="s">
        <v>161</v>
      </c>
      <c r="C36" s="1502"/>
      <c r="D36" s="1502"/>
      <c r="E36" s="1484"/>
      <c r="F36" s="1484"/>
      <c r="G36" s="1484"/>
      <c r="H36" s="1502"/>
      <c r="I36" s="1502"/>
      <c r="J36" s="1503"/>
    </row>
  </sheetData>
  <sortState ref="A30:H35">
    <sortCondition descending="1" ref="H30"/>
  </sortState>
  <mergeCells count="5">
    <mergeCell ref="B36:J36"/>
    <mergeCell ref="A3:I3"/>
    <mergeCell ref="A18:I18"/>
    <mergeCell ref="B15:I15"/>
    <mergeCell ref="A1:R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topLeftCell="A34" workbookViewId="0">
      <selection activeCell="I52" sqref="I52"/>
    </sheetView>
  </sheetViews>
  <sheetFormatPr defaultRowHeight="15"/>
  <cols>
    <col min="1" max="1" width="25" customWidth="1"/>
    <col min="15" max="15" width="0.28515625" customWidth="1"/>
    <col min="16" max="16" width="1.5703125" customWidth="1"/>
    <col min="17" max="18" width="9.140625" hidden="1" customWidth="1"/>
  </cols>
  <sheetData>
    <row r="1" spans="1:18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1"/>
    </row>
    <row r="2" spans="1:18" ht="15.75" thickBot="1"/>
    <row r="3" spans="1:18" ht="21" thickBot="1">
      <c r="A3" s="1477" t="s">
        <v>279</v>
      </c>
      <c r="B3" s="1478"/>
      <c r="C3" s="1478"/>
      <c r="D3" s="1478"/>
      <c r="E3" s="1478"/>
      <c r="F3" s="1478"/>
      <c r="G3" s="1478"/>
      <c r="H3" s="1478"/>
      <c r="I3" s="1478"/>
      <c r="J3" s="1478"/>
      <c r="K3" s="517"/>
    </row>
    <row r="4" spans="1:18" ht="30.75" thickBot="1">
      <c r="A4" s="546" t="s">
        <v>19</v>
      </c>
      <c r="B4" s="510" t="s">
        <v>18</v>
      </c>
      <c r="C4" s="632" t="s">
        <v>124</v>
      </c>
      <c r="D4" s="512" t="s">
        <v>20</v>
      </c>
      <c r="E4" s="633" t="s">
        <v>162</v>
      </c>
      <c r="F4" s="627" t="s">
        <v>163</v>
      </c>
      <c r="G4" s="634" t="s">
        <v>164</v>
      </c>
      <c r="H4" s="804" t="s">
        <v>165</v>
      </c>
      <c r="I4" s="635" t="s">
        <v>162</v>
      </c>
      <c r="J4" s="627" t="s">
        <v>163</v>
      </c>
      <c r="K4" s="634" t="s">
        <v>164</v>
      </c>
      <c r="L4" s="804" t="s">
        <v>165</v>
      </c>
      <c r="M4" s="636" t="s">
        <v>23</v>
      </c>
    </row>
    <row r="5" spans="1:18" ht="19.5" thickBot="1">
      <c r="A5" s="546" t="s">
        <v>52</v>
      </c>
      <c r="B5" s="1067">
        <v>2</v>
      </c>
      <c r="C5" s="689" t="s">
        <v>3</v>
      </c>
      <c r="D5" s="512" t="s">
        <v>7</v>
      </c>
      <c r="E5" s="633">
        <v>94</v>
      </c>
      <c r="F5" s="627">
        <v>90</v>
      </c>
      <c r="G5" s="715">
        <v>66</v>
      </c>
      <c r="H5" s="793">
        <f t="shared" ref="H5:H15" si="0">SUM($E5:$G5)</f>
        <v>250</v>
      </c>
      <c r="I5" s="633">
        <v>98</v>
      </c>
      <c r="J5" s="627">
        <v>94</v>
      </c>
      <c r="K5" s="715">
        <v>77</v>
      </c>
      <c r="L5" s="793">
        <f t="shared" ref="L5:L7" si="1">SUM($I5:$K5)</f>
        <v>269</v>
      </c>
      <c r="M5" s="636">
        <f t="shared" ref="M5:M15" si="2">SUM(H5+L5)</f>
        <v>519</v>
      </c>
    </row>
    <row r="6" spans="1:18" ht="18.75">
      <c r="A6" s="1071" t="s">
        <v>206</v>
      </c>
      <c r="B6" s="1072">
        <v>169</v>
      </c>
      <c r="C6" s="1073" t="s">
        <v>4</v>
      </c>
      <c r="D6" s="1086" t="s">
        <v>7</v>
      </c>
      <c r="E6" s="956">
        <v>87</v>
      </c>
      <c r="F6" s="177">
        <v>74</v>
      </c>
      <c r="G6" s="1074">
        <v>84</v>
      </c>
      <c r="H6" s="526">
        <f t="shared" si="0"/>
        <v>245</v>
      </c>
      <c r="I6" s="956">
        <v>84</v>
      </c>
      <c r="J6" s="177">
        <v>90</v>
      </c>
      <c r="K6" s="1074">
        <v>76</v>
      </c>
      <c r="L6" s="526">
        <f t="shared" si="1"/>
        <v>250</v>
      </c>
      <c r="M6" s="713">
        <f t="shared" si="2"/>
        <v>495</v>
      </c>
    </row>
    <row r="7" spans="1:18" ht="19.5" thickBot="1">
      <c r="A7" s="1068" t="s">
        <v>53</v>
      </c>
      <c r="B7" s="1069">
        <v>2434</v>
      </c>
      <c r="C7" s="923" t="s">
        <v>193</v>
      </c>
      <c r="D7" s="1011" t="s">
        <v>9</v>
      </c>
      <c r="E7" s="733">
        <v>70</v>
      </c>
      <c r="F7" s="114">
        <v>86</v>
      </c>
      <c r="G7" s="731">
        <v>58</v>
      </c>
      <c r="H7" s="1070">
        <f t="shared" si="0"/>
        <v>214</v>
      </c>
      <c r="I7" s="733">
        <v>88</v>
      </c>
      <c r="J7" s="114">
        <v>87</v>
      </c>
      <c r="K7" s="731">
        <v>73</v>
      </c>
      <c r="L7" s="1070">
        <f t="shared" si="1"/>
        <v>248</v>
      </c>
      <c r="M7" s="740">
        <f t="shared" si="2"/>
        <v>462</v>
      </c>
    </row>
    <row r="8" spans="1:18" ht="18.75">
      <c r="A8" s="695" t="s">
        <v>245</v>
      </c>
      <c r="B8" s="637">
        <v>1281</v>
      </c>
      <c r="C8" s="824" t="s">
        <v>112</v>
      </c>
      <c r="D8" s="638" t="s">
        <v>7</v>
      </c>
      <c r="E8" s="525">
        <v>76</v>
      </c>
      <c r="F8" s="34">
        <v>84</v>
      </c>
      <c r="G8" s="579">
        <v>77</v>
      </c>
      <c r="H8" s="526">
        <f t="shared" si="0"/>
        <v>237</v>
      </c>
      <c r="I8" s="926">
        <v>86</v>
      </c>
      <c r="J8" s="34">
        <v>88</v>
      </c>
      <c r="K8" s="579">
        <v>73</v>
      </c>
      <c r="L8" s="526">
        <f t="shared" ref="L8:L15" si="3">SUM($I8:$K8)</f>
        <v>247</v>
      </c>
      <c r="M8" s="713">
        <f t="shared" si="2"/>
        <v>484</v>
      </c>
    </row>
    <row r="9" spans="1:18" ht="19.5" thickBot="1">
      <c r="A9" s="1068" t="s">
        <v>55</v>
      </c>
      <c r="B9" s="1069">
        <v>641</v>
      </c>
      <c r="C9" s="1182" t="s">
        <v>112</v>
      </c>
      <c r="D9" s="1183" t="s">
        <v>14</v>
      </c>
      <c r="E9" s="722">
        <v>88</v>
      </c>
      <c r="F9" s="114">
        <v>74</v>
      </c>
      <c r="G9" s="731">
        <v>65</v>
      </c>
      <c r="H9" s="533">
        <f t="shared" si="0"/>
        <v>227</v>
      </c>
      <c r="I9" s="733">
        <v>80</v>
      </c>
      <c r="J9" s="114">
        <v>75</v>
      </c>
      <c r="K9" s="731">
        <v>69</v>
      </c>
      <c r="L9" s="533">
        <f t="shared" si="3"/>
        <v>224</v>
      </c>
      <c r="M9" s="740">
        <f t="shared" si="2"/>
        <v>451</v>
      </c>
    </row>
    <row r="10" spans="1:18" ht="18.75">
      <c r="A10" s="611" t="s">
        <v>137</v>
      </c>
      <c r="B10" s="639">
        <v>1143</v>
      </c>
      <c r="C10" s="573" t="s">
        <v>5</v>
      </c>
      <c r="D10" s="574" t="s">
        <v>9</v>
      </c>
      <c r="E10" s="135">
        <v>78</v>
      </c>
      <c r="F10" s="44">
        <v>61</v>
      </c>
      <c r="G10" s="581">
        <v>60</v>
      </c>
      <c r="H10" s="989">
        <f t="shared" si="0"/>
        <v>199</v>
      </c>
      <c r="I10" s="895">
        <v>93</v>
      </c>
      <c r="J10" s="44">
        <v>81</v>
      </c>
      <c r="K10" s="581">
        <v>57</v>
      </c>
      <c r="L10" s="989">
        <f t="shared" si="3"/>
        <v>231</v>
      </c>
      <c r="M10" s="785">
        <f t="shared" si="2"/>
        <v>430</v>
      </c>
    </row>
    <row r="11" spans="1:18" ht="18.75">
      <c r="A11" s="611" t="s">
        <v>220</v>
      </c>
      <c r="B11" s="639">
        <v>1569</v>
      </c>
      <c r="C11" s="640" t="s">
        <v>5</v>
      </c>
      <c r="D11" s="574" t="s">
        <v>9</v>
      </c>
      <c r="E11" s="135">
        <v>76</v>
      </c>
      <c r="F11" s="44">
        <v>65</v>
      </c>
      <c r="G11" s="581">
        <v>64</v>
      </c>
      <c r="H11" s="528">
        <f t="shared" si="0"/>
        <v>205</v>
      </c>
      <c r="I11" s="927">
        <v>75</v>
      </c>
      <c r="J11" s="44">
        <v>81</v>
      </c>
      <c r="K11" s="581">
        <v>61</v>
      </c>
      <c r="L11" s="528">
        <f t="shared" si="3"/>
        <v>217</v>
      </c>
      <c r="M11" s="785">
        <f t="shared" si="2"/>
        <v>422</v>
      </c>
    </row>
    <row r="12" spans="1:18" ht="18.75">
      <c r="A12" s="611" t="s">
        <v>261</v>
      </c>
      <c r="B12" s="639">
        <v>1798</v>
      </c>
      <c r="C12" s="640" t="s">
        <v>5</v>
      </c>
      <c r="D12" s="574" t="s">
        <v>7</v>
      </c>
      <c r="E12" s="135">
        <v>91</v>
      </c>
      <c r="F12" s="44">
        <v>69</v>
      </c>
      <c r="G12" s="581">
        <v>50</v>
      </c>
      <c r="H12" s="528">
        <f t="shared" si="0"/>
        <v>210</v>
      </c>
      <c r="I12" s="927">
        <v>62</v>
      </c>
      <c r="J12" s="44">
        <v>61</v>
      </c>
      <c r="K12" s="581">
        <v>68</v>
      </c>
      <c r="L12" s="528">
        <f t="shared" si="3"/>
        <v>191</v>
      </c>
      <c r="M12" s="785">
        <f t="shared" si="2"/>
        <v>401</v>
      </c>
    </row>
    <row r="13" spans="1:18" ht="18.75">
      <c r="A13" s="611" t="s">
        <v>205</v>
      </c>
      <c r="B13" s="639">
        <v>1291</v>
      </c>
      <c r="C13" s="640" t="s">
        <v>5</v>
      </c>
      <c r="D13" s="574" t="s">
        <v>7</v>
      </c>
      <c r="E13" s="135">
        <v>63</v>
      </c>
      <c r="F13" s="44">
        <v>75</v>
      </c>
      <c r="G13" s="581">
        <v>51</v>
      </c>
      <c r="H13" s="528">
        <f t="shared" si="0"/>
        <v>189</v>
      </c>
      <c r="I13" s="927">
        <v>60</v>
      </c>
      <c r="J13" s="44">
        <v>79</v>
      </c>
      <c r="K13" s="581">
        <v>48</v>
      </c>
      <c r="L13" s="528">
        <f t="shared" si="3"/>
        <v>187</v>
      </c>
      <c r="M13" s="785">
        <f t="shared" si="2"/>
        <v>376</v>
      </c>
    </row>
    <row r="14" spans="1:18" ht="18.75">
      <c r="A14" s="611" t="s">
        <v>190</v>
      </c>
      <c r="B14" s="639">
        <v>1054</v>
      </c>
      <c r="C14" s="640" t="s">
        <v>5</v>
      </c>
      <c r="D14" s="574" t="s">
        <v>9</v>
      </c>
      <c r="E14" s="135">
        <v>74</v>
      </c>
      <c r="F14" s="44">
        <v>69</v>
      </c>
      <c r="G14" s="581">
        <v>43</v>
      </c>
      <c r="H14" s="528">
        <f t="shared" si="0"/>
        <v>186</v>
      </c>
      <c r="I14" s="164">
        <v>75</v>
      </c>
      <c r="J14" s="44">
        <v>53</v>
      </c>
      <c r="K14" s="581">
        <v>44</v>
      </c>
      <c r="L14" s="528">
        <f t="shared" si="3"/>
        <v>172</v>
      </c>
      <c r="M14" s="785">
        <f t="shared" si="2"/>
        <v>358</v>
      </c>
    </row>
    <row r="15" spans="1:18" ht="19.5" thickBot="1">
      <c r="A15" s="611" t="s">
        <v>260</v>
      </c>
      <c r="B15" s="639">
        <v>3608</v>
      </c>
      <c r="C15" s="640" t="s">
        <v>5</v>
      </c>
      <c r="D15" s="574" t="s">
        <v>2</v>
      </c>
      <c r="E15" s="722">
        <v>69</v>
      </c>
      <c r="F15" s="114">
        <v>42</v>
      </c>
      <c r="G15" s="731">
        <v>41</v>
      </c>
      <c r="H15" s="533">
        <f t="shared" si="0"/>
        <v>152</v>
      </c>
      <c r="I15" s="733">
        <v>62</v>
      </c>
      <c r="J15" s="114">
        <v>56</v>
      </c>
      <c r="K15" s="731">
        <v>32</v>
      </c>
      <c r="L15" s="533">
        <f t="shared" si="3"/>
        <v>150</v>
      </c>
      <c r="M15" s="740">
        <f t="shared" si="2"/>
        <v>302</v>
      </c>
    </row>
    <row r="16" spans="1:18" ht="21.75" thickBot="1">
      <c r="A16" s="541" t="s">
        <v>85</v>
      </c>
      <c r="B16" s="1504"/>
      <c r="C16" s="1505"/>
      <c r="D16" s="1505"/>
      <c r="E16" s="1496"/>
      <c r="F16" s="1496"/>
      <c r="G16" s="1496"/>
      <c r="H16" s="1496"/>
      <c r="I16" s="1496"/>
      <c r="J16" s="1496"/>
      <c r="K16" s="1496"/>
      <c r="L16" s="1497"/>
    </row>
    <row r="17" spans="1:15" ht="15.75" thickBot="1"/>
    <row r="18" spans="1:15" ht="21.75" thickBot="1">
      <c r="A18" s="1520" t="s">
        <v>280</v>
      </c>
      <c r="B18" s="1521"/>
      <c r="C18" s="1521"/>
      <c r="D18" s="1521"/>
      <c r="E18" s="1521"/>
      <c r="F18" s="1521"/>
      <c r="G18" s="1521"/>
      <c r="H18" s="1521"/>
      <c r="I18" s="1521"/>
      <c r="J18" s="1521"/>
      <c r="K18" s="1521"/>
      <c r="L18" s="1522"/>
      <c r="M18" s="641"/>
      <c r="N18" s="1516"/>
      <c r="O18" s="1517"/>
    </row>
    <row r="19" spans="1:15" ht="35.25" customHeight="1" thickBot="1">
      <c r="A19" s="1507" t="s">
        <v>166</v>
      </c>
      <c r="B19" s="1508"/>
      <c r="C19" s="1508"/>
      <c r="D19" s="1509"/>
      <c r="E19" s="1510" t="s">
        <v>167</v>
      </c>
      <c r="F19" s="1511"/>
      <c r="G19" s="1512"/>
      <c r="H19" s="1510" t="s">
        <v>168</v>
      </c>
      <c r="I19" s="1511"/>
      <c r="J19" s="1512"/>
      <c r="K19" s="1510" t="s">
        <v>169</v>
      </c>
      <c r="L19" s="1511"/>
      <c r="M19" s="1513"/>
      <c r="N19" s="1514" t="s">
        <v>170</v>
      </c>
      <c r="O19" s="1515"/>
    </row>
    <row r="20" spans="1:15" ht="26.25" thickBot="1">
      <c r="A20" s="805" t="s">
        <v>19</v>
      </c>
      <c r="B20" s="806" t="s">
        <v>18</v>
      </c>
      <c r="C20" s="807" t="s">
        <v>124</v>
      </c>
      <c r="D20" s="808" t="s">
        <v>20</v>
      </c>
      <c r="E20" s="809" t="s">
        <v>171</v>
      </c>
      <c r="F20" s="809" t="s">
        <v>171</v>
      </c>
      <c r="G20" s="808" t="s">
        <v>128</v>
      </c>
      <c r="H20" s="809" t="s">
        <v>172</v>
      </c>
      <c r="I20" s="809" t="s">
        <v>172</v>
      </c>
      <c r="J20" s="808" t="s">
        <v>128</v>
      </c>
      <c r="K20" s="809" t="s">
        <v>173</v>
      </c>
      <c r="L20" s="809" t="s">
        <v>173</v>
      </c>
      <c r="M20" s="808" t="s">
        <v>128</v>
      </c>
      <c r="N20" s="1523" t="s">
        <v>23</v>
      </c>
      <c r="O20" s="1524"/>
    </row>
    <row r="21" spans="1:15" ht="19.5" thickBot="1">
      <c r="A21" s="655" t="s">
        <v>205</v>
      </c>
      <c r="B21" s="651">
        <v>1291</v>
      </c>
      <c r="C21" s="652" t="s">
        <v>4</v>
      </c>
      <c r="D21" s="653" t="s">
        <v>7</v>
      </c>
      <c r="E21" s="44">
        <v>80</v>
      </c>
      <c r="F21" s="44">
        <v>85</v>
      </c>
      <c r="G21" s="654">
        <f>SUM(E21:F21)</f>
        <v>165</v>
      </c>
      <c r="H21" s="44">
        <v>70</v>
      </c>
      <c r="I21" s="44">
        <v>85</v>
      </c>
      <c r="J21" s="654">
        <f>SUM(H21:I21)</f>
        <v>155</v>
      </c>
      <c r="K21" s="44">
        <v>88</v>
      </c>
      <c r="L21" s="44">
        <v>77</v>
      </c>
      <c r="M21" s="654">
        <f>SUM(K21:L21)</f>
        <v>165</v>
      </c>
      <c r="N21" s="784">
        <f>$G21+$J21+$M21</f>
        <v>485</v>
      </c>
      <c r="O21" s="785"/>
    </row>
    <row r="22" spans="1:15" ht="18.75">
      <c r="A22" s="699" t="s">
        <v>251</v>
      </c>
      <c r="B22" s="647">
        <v>1172</v>
      </c>
      <c r="C22" s="741" t="s">
        <v>5</v>
      </c>
      <c r="D22" s="648" t="s">
        <v>7</v>
      </c>
      <c r="E22" s="34">
        <v>88</v>
      </c>
      <c r="F22" s="34">
        <v>78</v>
      </c>
      <c r="G22" s="1192">
        <f t="shared" ref="G22:G28" si="4">SUM(E22:F22)</f>
        <v>166</v>
      </c>
      <c r="H22" s="34">
        <v>84</v>
      </c>
      <c r="I22" s="34">
        <v>87</v>
      </c>
      <c r="J22" s="1192">
        <f t="shared" ref="J22:J28" si="5">SUM(H22:I22)</f>
        <v>171</v>
      </c>
      <c r="K22" s="34">
        <v>87</v>
      </c>
      <c r="L22" s="34">
        <v>93</v>
      </c>
      <c r="M22" s="1192">
        <f t="shared" ref="M22:M28" si="6">SUM(K22:L22)</f>
        <v>180</v>
      </c>
      <c r="N22" s="1193">
        <f t="shared" ref="N22:N28" si="7">$G22+$J22+$M22</f>
        <v>517</v>
      </c>
      <c r="O22" s="785"/>
    </row>
    <row r="23" spans="1:15" ht="18.75">
      <c r="A23" s="655" t="s">
        <v>191</v>
      </c>
      <c r="B23" s="651">
        <v>1143</v>
      </c>
      <c r="C23" s="652" t="s">
        <v>5</v>
      </c>
      <c r="D23" s="653" t="s">
        <v>9</v>
      </c>
      <c r="E23" s="44">
        <v>86</v>
      </c>
      <c r="F23" s="44">
        <v>92</v>
      </c>
      <c r="G23" s="654">
        <f t="shared" si="4"/>
        <v>178</v>
      </c>
      <c r="H23" s="44">
        <v>81</v>
      </c>
      <c r="I23" s="44">
        <v>91</v>
      </c>
      <c r="J23" s="654">
        <f t="shared" si="5"/>
        <v>172</v>
      </c>
      <c r="K23" s="44">
        <v>82</v>
      </c>
      <c r="L23" s="44">
        <v>77</v>
      </c>
      <c r="M23" s="654">
        <f t="shared" si="6"/>
        <v>159</v>
      </c>
      <c r="N23" s="1194">
        <f t="shared" si="7"/>
        <v>509</v>
      </c>
      <c r="O23" s="785"/>
    </row>
    <row r="24" spans="1:15" ht="18.75">
      <c r="A24" s="655" t="s">
        <v>252</v>
      </c>
      <c r="B24" s="651">
        <v>723</v>
      </c>
      <c r="C24" s="652" t="s">
        <v>5</v>
      </c>
      <c r="D24" s="653" t="s">
        <v>14</v>
      </c>
      <c r="E24" s="44">
        <v>89</v>
      </c>
      <c r="F24" s="44">
        <v>79</v>
      </c>
      <c r="G24" s="654">
        <f t="shared" si="4"/>
        <v>168</v>
      </c>
      <c r="H24" s="44">
        <v>89</v>
      </c>
      <c r="I24" s="44">
        <v>89</v>
      </c>
      <c r="J24" s="654">
        <f t="shared" si="5"/>
        <v>178</v>
      </c>
      <c r="K24" s="44">
        <v>81</v>
      </c>
      <c r="L24" s="44">
        <v>70</v>
      </c>
      <c r="M24" s="654">
        <f t="shared" si="6"/>
        <v>151</v>
      </c>
      <c r="N24" s="1194">
        <f t="shared" si="7"/>
        <v>497</v>
      </c>
      <c r="O24" s="785"/>
    </row>
    <row r="25" spans="1:15" ht="18.75">
      <c r="A25" s="655" t="s">
        <v>220</v>
      </c>
      <c r="B25" s="651">
        <v>1569</v>
      </c>
      <c r="C25" s="652" t="s">
        <v>5</v>
      </c>
      <c r="D25" s="653" t="s">
        <v>9</v>
      </c>
      <c r="E25" s="44">
        <v>78</v>
      </c>
      <c r="F25" s="44">
        <v>87</v>
      </c>
      <c r="G25" s="654">
        <f t="shared" si="4"/>
        <v>165</v>
      </c>
      <c r="H25" s="44">
        <v>71</v>
      </c>
      <c r="I25" s="44">
        <v>84</v>
      </c>
      <c r="J25" s="654">
        <f t="shared" si="5"/>
        <v>155</v>
      </c>
      <c r="K25" s="44">
        <v>82</v>
      </c>
      <c r="L25" s="44">
        <v>77</v>
      </c>
      <c r="M25" s="654">
        <f t="shared" si="6"/>
        <v>159</v>
      </c>
      <c r="N25" s="1194">
        <f t="shared" si="7"/>
        <v>479</v>
      </c>
      <c r="O25" s="785"/>
    </row>
    <row r="26" spans="1:15" ht="18.75">
      <c r="A26" s="655" t="s">
        <v>109</v>
      </c>
      <c r="B26" s="651">
        <v>1577</v>
      </c>
      <c r="C26" s="652" t="s">
        <v>5</v>
      </c>
      <c r="D26" s="653" t="s">
        <v>14</v>
      </c>
      <c r="E26" s="44">
        <v>65</v>
      </c>
      <c r="F26" s="44">
        <v>73</v>
      </c>
      <c r="G26" s="654">
        <f t="shared" si="4"/>
        <v>138</v>
      </c>
      <c r="H26" s="44">
        <v>55</v>
      </c>
      <c r="I26" s="44">
        <v>74</v>
      </c>
      <c r="J26" s="654">
        <f t="shared" si="5"/>
        <v>129</v>
      </c>
      <c r="K26" s="44">
        <v>76</v>
      </c>
      <c r="L26" s="44">
        <v>72</v>
      </c>
      <c r="M26" s="654">
        <f t="shared" si="6"/>
        <v>148</v>
      </c>
      <c r="N26" s="1194">
        <f t="shared" si="7"/>
        <v>415</v>
      </c>
      <c r="O26" s="785"/>
    </row>
    <row r="27" spans="1:15" ht="18.75">
      <c r="A27" s="655" t="s">
        <v>261</v>
      </c>
      <c r="B27" s="651">
        <v>1798</v>
      </c>
      <c r="C27" s="652" t="s">
        <v>5</v>
      </c>
      <c r="D27" s="653" t="s">
        <v>7</v>
      </c>
      <c r="E27" s="44">
        <v>63</v>
      </c>
      <c r="F27" s="44">
        <v>65</v>
      </c>
      <c r="G27" s="654">
        <f t="shared" si="4"/>
        <v>128</v>
      </c>
      <c r="H27" s="44">
        <v>56</v>
      </c>
      <c r="I27" s="44">
        <v>73</v>
      </c>
      <c r="J27" s="654">
        <f t="shared" si="5"/>
        <v>129</v>
      </c>
      <c r="K27" s="44">
        <v>82</v>
      </c>
      <c r="L27" s="44">
        <v>39</v>
      </c>
      <c r="M27" s="654">
        <f t="shared" si="6"/>
        <v>121</v>
      </c>
      <c r="N27" s="1194">
        <f t="shared" si="7"/>
        <v>378</v>
      </c>
      <c r="O27" s="785"/>
    </row>
    <row r="28" spans="1:15" ht="18.75">
      <c r="A28" s="655" t="s">
        <v>190</v>
      </c>
      <c r="B28" s="651">
        <v>1054</v>
      </c>
      <c r="C28" s="652" t="s">
        <v>5</v>
      </c>
      <c r="D28" s="653" t="s">
        <v>9</v>
      </c>
      <c r="E28" s="44">
        <v>54</v>
      </c>
      <c r="F28" s="44">
        <v>70</v>
      </c>
      <c r="G28" s="654">
        <f t="shared" si="4"/>
        <v>124</v>
      </c>
      <c r="H28" s="44">
        <v>69</v>
      </c>
      <c r="I28" s="44">
        <v>53</v>
      </c>
      <c r="J28" s="654">
        <f t="shared" si="5"/>
        <v>122</v>
      </c>
      <c r="K28" s="44">
        <v>78</v>
      </c>
      <c r="L28" s="44">
        <v>49</v>
      </c>
      <c r="M28" s="654">
        <f t="shared" si="6"/>
        <v>127</v>
      </c>
      <c r="N28" s="1194">
        <f t="shared" si="7"/>
        <v>373</v>
      </c>
      <c r="O28" s="785"/>
    </row>
    <row r="29" spans="1:15" ht="24" thickBot="1">
      <c r="A29" s="660" t="s">
        <v>85</v>
      </c>
      <c r="B29" s="1495"/>
      <c r="C29" s="1496"/>
      <c r="D29" s="1496"/>
      <c r="E29" s="1496"/>
      <c r="F29" s="1496"/>
      <c r="G29" s="1496"/>
      <c r="H29" s="1496"/>
      <c r="I29" s="1496"/>
      <c r="J29" s="1496"/>
      <c r="K29" s="1496"/>
      <c r="L29" s="1497"/>
      <c r="M29" s="661"/>
      <c r="N29" s="662"/>
      <c r="O29" s="662"/>
    </row>
    <row r="30" spans="1:15" ht="15.75">
      <c r="A30" s="542"/>
      <c r="B30" s="663"/>
      <c r="C30" s="664"/>
    </row>
    <row r="31" spans="1:15" ht="16.5" thickBot="1">
      <c r="A31" s="542"/>
      <c r="B31" s="544"/>
      <c r="C31" s="664"/>
    </row>
    <row r="32" spans="1:15" ht="21.75" thickBot="1">
      <c r="A32" s="1520" t="s">
        <v>281</v>
      </c>
      <c r="B32" s="1521"/>
      <c r="C32" s="1521"/>
      <c r="D32" s="1521"/>
      <c r="E32" s="1521"/>
      <c r="F32" s="1521"/>
      <c r="G32" s="1521"/>
      <c r="H32" s="1521"/>
      <c r="I32" s="1521"/>
      <c r="J32" s="1521"/>
      <c r="K32" s="1521"/>
      <c r="L32" s="1522"/>
      <c r="M32" s="641"/>
      <c r="N32" s="1516"/>
      <c r="O32" s="1517"/>
    </row>
    <row r="33" spans="1:15" ht="32.25" customHeight="1" thickBot="1">
      <c r="A33" s="1507" t="s">
        <v>166</v>
      </c>
      <c r="B33" s="1508"/>
      <c r="C33" s="1508"/>
      <c r="D33" s="1509"/>
      <c r="E33" s="1510" t="s">
        <v>174</v>
      </c>
      <c r="F33" s="1511"/>
      <c r="G33" s="1512"/>
      <c r="H33" s="1510" t="s">
        <v>175</v>
      </c>
      <c r="I33" s="1511"/>
      <c r="J33" s="1512"/>
      <c r="K33" s="1510" t="s">
        <v>168</v>
      </c>
      <c r="L33" s="1511"/>
      <c r="M33" s="1513"/>
      <c r="N33" s="1514" t="s">
        <v>176</v>
      </c>
      <c r="O33" s="1515"/>
    </row>
    <row r="34" spans="1:15" ht="26.25" thickBot="1">
      <c r="A34" s="642" t="s">
        <v>19</v>
      </c>
      <c r="B34" s="643" t="s">
        <v>18</v>
      </c>
      <c r="C34" s="644" t="s">
        <v>124</v>
      </c>
      <c r="D34" s="645" t="s">
        <v>20</v>
      </c>
      <c r="E34" s="646" t="s">
        <v>171</v>
      </c>
      <c r="F34" s="730" t="s">
        <v>171</v>
      </c>
      <c r="G34" s="734" t="s">
        <v>128</v>
      </c>
      <c r="H34" s="732" t="s">
        <v>172</v>
      </c>
      <c r="I34" s="730" t="s">
        <v>172</v>
      </c>
      <c r="J34" s="734" t="s">
        <v>128</v>
      </c>
      <c r="K34" s="732" t="s">
        <v>173</v>
      </c>
      <c r="L34" s="730" t="s">
        <v>173</v>
      </c>
      <c r="M34" s="734" t="s">
        <v>128</v>
      </c>
      <c r="N34" s="1518" t="s">
        <v>23</v>
      </c>
      <c r="O34" s="1519"/>
    </row>
    <row r="35" spans="1:15" ht="19.5" thickBot="1">
      <c r="A35" s="1237" t="s">
        <v>206</v>
      </c>
      <c r="B35" s="1238">
        <v>169</v>
      </c>
      <c r="C35" s="1239" t="s">
        <v>4</v>
      </c>
      <c r="D35" s="1240" t="s">
        <v>7</v>
      </c>
      <c r="E35" s="855">
        <v>89</v>
      </c>
      <c r="F35" s="990">
        <v>90</v>
      </c>
      <c r="G35" s="1241">
        <f t="shared" ref="G35:G46" si="8">SUM(E35:F35)</f>
        <v>179</v>
      </c>
      <c r="H35" s="991">
        <v>87</v>
      </c>
      <c r="I35" s="990">
        <v>78</v>
      </c>
      <c r="J35" s="1241">
        <f t="shared" ref="J35:J46" si="9">SUM(H35:I35)</f>
        <v>165</v>
      </c>
      <c r="K35" s="991">
        <v>86</v>
      </c>
      <c r="L35" s="990">
        <v>76</v>
      </c>
      <c r="M35" s="1241">
        <f t="shared" ref="M35:M46" si="10">SUM(K35:L35)</f>
        <v>162</v>
      </c>
      <c r="N35" s="1242">
        <f t="shared" ref="N35:N46" si="11">$G35+$J35+$M35</f>
        <v>506</v>
      </c>
      <c r="O35" s="740"/>
    </row>
    <row r="36" spans="1:15" ht="18.75">
      <c r="A36" s="699" t="s">
        <v>58</v>
      </c>
      <c r="B36" s="647">
        <v>1798</v>
      </c>
      <c r="C36" s="741" t="s">
        <v>6</v>
      </c>
      <c r="D36" s="648" t="s">
        <v>7</v>
      </c>
      <c r="E36" s="34">
        <v>85</v>
      </c>
      <c r="F36" s="579">
        <v>86</v>
      </c>
      <c r="G36" s="736">
        <f t="shared" si="8"/>
        <v>171</v>
      </c>
      <c r="H36" s="926">
        <v>85</v>
      </c>
      <c r="I36" s="579">
        <v>83</v>
      </c>
      <c r="J36" s="736">
        <f t="shared" si="9"/>
        <v>168</v>
      </c>
      <c r="K36" s="926">
        <v>80</v>
      </c>
      <c r="L36" s="579">
        <v>84</v>
      </c>
      <c r="M36" s="736">
        <f t="shared" si="10"/>
        <v>164</v>
      </c>
      <c r="N36" s="1092">
        <f t="shared" si="11"/>
        <v>503</v>
      </c>
      <c r="O36" s="684"/>
    </row>
    <row r="37" spans="1:15" ht="19.5" thickBot="1">
      <c r="A37" s="789" t="s">
        <v>73</v>
      </c>
      <c r="B37" s="658">
        <v>1619</v>
      </c>
      <c r="C37" s="810" t="s">
        <v>6</v>
      </c>
      <c r="D37" s="659" t="s">
        <v>7</v>
      </c>
      <c r="E37" s="61">
        <v>90</v>
      </c>
      <c r="F37" s="585">
        <v>78</v>
      </c>
      <c r="G37" s="738">
        <f t="shared" si="8"/>
        <v>168</v>
      </c>
      <c r="H37" s="584">
        <v>71</v>
      </c>
      <c r="I37" s="585">
        <v>83</v>
      </c>
      <c r="J37" s="738">
        <f t="shared" si="9"/>
        <v>154</v>
      </c>
      <c r="K37" s="584">
        <v>42</v>
      </c>
      <c r="L37" s="585">
        <v>75</v>
      </c>
      <c r="M37" s="738">
        <f t="shared" si="10"/>
        <v>117</v>
      </c>
      <c r="N37" s="1093">
        <f t="shared" si="11"/>
        <v>439</v>
      </c>
      <c r="O37" s="600"/>
    </row>
    <row r="38" spans="1:15" ht="18.75">
      <c r="A38" s="699" t="s">
        <v>201</v>
      </c>
      <c r="B38" s="647">
        <v>1314</v>
      </c>
      <c r="C38" s="741" t="s">
        <v>5</v>
      </c>
      <c r="D38" s="648" t="s">
        <v>12</v>
      </c>
      <c r="E38" s="34">
        <v>94</v>
      </c>
      <c r="F38" s="579">
        <v>72</v>
      </c>
      <c r="G38" s="736">
        <f t="shared" si="8"/>
        <v>166</v>
      </c>
      <c r="H38" s="926">
        <v>78</v>
      </c>
      <c r="I38" s="579">
        <v>88</v>
      </c>
      <c r="J38" s="736">
        <f t="shared" si="9"/>
        <v>166</v>
      </c>
      <c r="K38" s="926">
        <v>56</v>
      </c>
      <c r="L38" s="579">
        <v>73</v>
      </c>
      <c r="M38" s="736">
        <f t="shared" si="10"/>
        <v>129</v>
      </c>
      <c r="N38" s="1092">
        <f t="shared" si="11"/>
        <v>461</v>
      </c>
      <c r="O38" s="600"/>
    </row>
    <row r="39" spans="1:15" ht="18.75">
      <c r="A39" s="655" t="s">
        <v>214</v>
      </c>
      <c r="B39" s="651">
        <v>2138</v>
      </c>
      <c r="C39" s="652" t="s">
        <v>5</v>
      </c>
      <c r="D39" s="653" t="s">
        <v>9</v>
      </c>
      <c r="E39" s="44">
        <v>59</v>
      </c>
      <c r="F39" s="581">
        <v>65</v>
      </c>
      <c r="G39" s="737">
        <f t="shared" si="8"/>
        <v>124</v>
      </c>
      <c r="H39" s="927">
        <v>79</v>
      </c>
      <c r="I39" s="581">
        <v>84</v>
      </c>
      <c r="J39" s="737">
        <f t="shared" si="9"/>
        <v>163</v>
      </c>
      <c r="K39" s="927">
        <v>70</v>
      </c>
      <c r="L39" s="581">
        <v>73</v>
      </c>
      <c r="M39" s="737">
        <f t="shared" si="10"/>
        <v>143</v>
      </c>
      <c r="N39" s="554">
        <f t="shared" si="11"/>
        <v>430</v>
      </c>
      <c r="O39" s="694"/>
    </row>
    <row r="40" spans="1:15" ht="18.75">
      <c r="A40" s="657" t="s">
        <v>219</v>
      </c>
      <c r="B40" s="649">
        <v>709</v>
      </c>
      <c r="C40" s="614" t="s">
        <v>5</v>
      </c>
      <c r="D40" s="650" t="s">
        <v>9</v>
      </c>
      <c r="E40" s="52">
        <v>79</v>
      </c>
      <c r="F40" s="371">
        <v>82</v>
      </c>
      <c r="G40" s="735">
        <f t="shared" si="8"/>
        <v>161</v>
      </c>
      <c r="H40" s="710">
        <v>42</v>
      </c>
      <c r="I40" s="371">
        <v>80</v>
      </c>
      <c r="J40" s="735">
        <f t="shared" si="9"/>
        <v>122</v>
      </c>
      <c r="K40" s="710">
        <v>73</v>
      </c>
      <c r="L40" s="371">
        <v>67</v>
      </c>
      <c r="M40" s="735">
        <f t="shared" si="10"/>
        <v>140</v>
      </c>
      <c r="N40" s="811">
        <f t="shared" si="11"/>
        <v>423</v>
      </c>
      <c r="O40" s="600"/>
    </row>
    <row r="41" spans="1:15" ht="18.75">
      <c r="A41" s="657" t="s">
        <v>177</v>
      </c>
      <c r="B41" s="649">
        <v>1143</v>
      </c>
      <c r="C41" s="656" t="s">
        <v>5</v>
      </c>
      <c r="D41" s="650" t="s">
        <v>9</v>
      </c>
      <c r="E41" s="52">
        <v>66</v>
      </c>
      <c r="F41" s="371">
        <v>55</v>
      </c>
      <c r="G41" s="735">
        <f t="shared" si="8"/>
        <v>121</v>
      </c>
      <c r="H41" s="710">
        <v>52</v>
      </c>
      <c r="I41" s="371">
        <v>76</v>
      </c>
      <c r="J41" s="735">
        <f t="shared" si="9"/>
        <v>128</v>
      </c>
      <c r="K41" s="710">
        <v>68</v>
      </c>
      <c r="L41" s="371">
        <v>79</v>
      </c>
      <c r="M41" s="735">
        <f t="shared" si="10"/>
        <v>147</v>
      </c>
      <c r="N41" s="554">
        <f t="shared" si="11"/>
        <v>396</v>
      </c>
      <c r="O41" s="694"/>
    </row>
    <row r="42" spans="1:15" ht="18.75">
      <c r="A42" s="657" t="s">
        <v>216</v>
      </c>
      <c r="B42" s="649">
        <v>1952</v>
      </c>
      <c r="C42" s="656" t="s">
        <v>5</v>
      </c>
      <c r="D42" s="650" t="s">
        <v>7</v>
      </c>
      <c r="E42" s="52">
        <v>63</v>
      </c>
      <c r="F42" s="371">
        <v>78</v>
      </c>
      <c r="G42" s="735">
        <f t="shared" si="8"/>
        <v>141</v>
      </c>
      <c r="H42" s="710">
        <v>58</v>
      </c>
      <c r="I42" s="371">
        <v>58</v>
      </c>
      <c r="J42" s="735">
        <f t="shared" si="9"/>
        <v>116</v>
      </c>
      <c r="K42" s="710">
        <v>52</v>
      </c>
      <c r="L42" s="371">
        <v>54</v>
      </c>
      <c r="M42" s="735">
        <f t="shared" si="10"/>
        <v>106</v>
      </c>
      <c r="N42" s="554">
        <f t="shared" si="11"/>
        <v>363</v>
      </c>
      <c r="O42" s="694"/>
    </row>
    <row r="43" spans="1:15" ht="18.75">
      <c r="A43" s="657" t="s">
        <v>178</v>
      </c>
      <c r="B43" s="649">
        <v>1264</v>
      </c>
      <c r="C43" s="656" t="s">
        <v>5</v>
      </c>
      <c r="D43" s="650" t="s">
        <v>7</v>
      </c>
      <c r="E43" s="52">
        <v>63</v>
      </c>
      <c r="F43" s="371">
        <v>45</v>
      </c>
      <c r="G43" s="735">
        <f t="shared" si="8"/>
        <v>108</v>
      </c>
      <c r="H43" s="710">
        <v>56</v>
      </c>
      <c r="I43" s="371">
        <v>40</v>
      </c>
      <c r="J43" s="735">
        <f t="shared" si="9"/>
        <v>96</v>
      </c>
      <c r="K43" s="710">
        <v>71</v>
      </c>
      <c r="L43" s="371">
        <v>67</v>
      </c>
      <c r="M43" s="735">
        <f t="shared" si="10"/>
        <v>138</v>
      </c>
      <c r="N43" s="554">
        <f t="shared" si="11"/>
        <v>342</v>
      </c>
      <c r="O43" s="694"/>
    </row>
    <row r="44" spans="1:15" ht="18.75">
      <c r="A44" s="696" t="s">
        <v>197</v>
      </c>
      <c r="B44" s="697">
        <v>1052</v>
      </c>
      <c r="C44" s="656" t="s">
        <v>5</v>
      </c>
      <c r="D44" s="698" t="s">
        <v>9</v>
      </c>
      <c r="E44" s="108">
        <v>51</v>
      </c>
      <c r="F44" s="703">
        <v>36</v>
      </c>
      <c r="G44" s="735">
        <f t="shared" si="8"/>
        <v>87</v>
      </c>
      <c r="H44" s="780">
        <v>52</v>
      </c>
      <c r="I44" s="703">
        <v>43</v>
      </c>
      <c r="J44" s="735">
        <f t="shared" si="9"/>
        <v>95</v>
      </c>
      <c r="K44" s="780">
        <v>72</v>
      </c>
      <c r="L44" s="703">
        <v>43</v>
      </c>
      <c r="M44" s="735">
        <f t="shared" si="10"/>
        <v>115</v>
      </c>
      <c r="N44" s="554">
        <f t="shared" si="11"/>
        <v>297</v>
      </c>
      <c r="O44" s="694"/>
    </row>
    <row r="45" spans="1:15" ht="18.75">
      <c r="A45" s="696" t="s">
        <v>200</v>
      </c>
      <c r="B45" s="697">
        <v>1850</v>
      </c>
      <c r="C45" s="656" t="s">
        <v>5</v>
      </c>
      <c r="D45" s="698" t="s">
        <v>9</v>
      </c>
      <c r="E45" s="108">
        <v>0</v>
      </c>
      <c r="F45" s="703">
        <v>15</v>
      </c>
      <c r="G45" s="735">
        <f t="shared" si="8"/>
        <v>15</v>
      </c>
      <c r="H45" s="780">
        <v>34</v>
      </c>
      <c r="I45" s="703">
        <v>56</v>
      </c>
      <c r="J45" s="735">
        <f t="shared" si="9"/>
        <v>90</v>
      </c>
      <c r="K45" s="780">
        <v>55</v>
      </c>
      <c r="L45" s="703">
        <v>52</v>
      </c>
      <c r="M45" s="735">
        <f t="shared" si="10"/>
        <v>107</v>
      </c>
      <c r="N45" s="554">
        <f t="shared" si="11"/>
        <v>212</v>
      </c>
      <c r="O45" s="694"/>
    </row>
    <row r="46" spans="1:15" ht="19.5" thickBot="1">
      <c r="A46" s="789" t="s">
        <v>190</v>
      </c>
      <c r="B46" s="658">
        <v>1054</v>
      </c>
      <c r="C46" s="810" t="s">
        <v>5</v>
      </c>
      <c r="D46" s="659" t="s">
        <v>9</v>
      </c>
      <c r="E46" s="61">
        <v>31</v>
      </c>
      <c r="F46" s="585">
        <v>25</v>
      </c>
      <c r="G46" s="738">
        <f t="shared" si="8"/>
        <v>56</v>
      </c>
      <c r="H46" s="584">
        <v>32</v>
      </c>
      <c r="I46" s="585">
        <v>38</v>
      </c>
      <c r="J46" s="738">
        <f t="shared" si="9"/>
        <v>70</v>
      </c>
      <c r="K46" s="584">
        <v>18</v>
      </c>
      <c r="L46" s="585">
        <v>51</v>
      </c>
      <c r="M46" s="738">
        <f t="shared" si="10"/>
        <v>69</v>
      </c>
      <c r="N46" s="1093">
        <f t="shared" si="11"/>
        <v>195</v>
      </c>
      <c r="O46" s="694"/>
    </row>
    <row r="47" spans="1:15" ht="24" thickBot="1">
      <c r="A47" s="660" t="s">
        <v>85</v>
      </c>
      <c r="B47" s="1495"/>
      <c r="C47" s="1496"/>
      <c r="D47" s="1496"/>
      <c r="E47" s="1496"/>
      <c r="F47" s="1496"/>
      <c r="G47" s="1496"/>
      <c r="H47" s="1496"/>
      <c r="I47" s="1496"/>
      <c r="J47" s="1496"/>
      <c r="K47" s="1496"/>
      <c r="L47" s="1497"/>
      <c r="M47" s="661"/>
      <c r="N47" s="662"/>
      <c r="O47" s="662"/>
    </row>
  </sheetData>
  <sortState ref="A22:N30">
    <sortCondition descending="1" ref="N22"/>
  </sortState>
  <mergeCells count="21">
    <mergeCell ref="A1:R1"/>
    <mergeCell ref="B29:L29"/>
    <mergeCell ref="N32:O32"/>
    <mergeCell ref="N34:O34"/>
    <mergeCell ref="B47:L47"/>
    <mergeCell ref="A32:L32"/>
    <mergeCell ref="A33:D33"/>
    <mergeCell ref="E33:G33"/>
    <mergeCell ref="H33:J33"/>
    <mergeCell ref="K33:M33"/>
    <mergeCell ref="N33:O33"/>
    <mergeCell ref="N20:O20"/>
    <mergeCell ref="A3:J3"/>
    <mergeCell ref="B16:L16"/>
    <mergeCell ref="A18:L18"/>
    <mergeCell ref="N18:O18"/>
    <mergeCell ref="A19:D19"/>
    <mergeCell ref="E19:G19"/>
    <mergeCell ref="H19:J19"/>
    <mergeCell ref="K19:M19"/>
    <mergeCell ref="N19:O19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opLeftCell="A7" workbookViewId="0">
      <selection activeCell="D21" sqref="D21"/>
    </sheetView>
  </sheetViews>
  <sheetFormatPr defaultRowHeight="15"/>
  <cols>
    <col min="1" max="1" width="25.7109375" customWidth="1"/>
    <col min="12" max="12" width="3" customWidth="1"/>
    <col min="13" max="18" width="9.140625" hidden="1" customWidth="1"/>
  </cols>
  <sheetData>
    <row r="1" spans="1:18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1"/>
    </row>
    <row r="2" spans="1:18" ht="15.75" thickBot="1"/>
    <row r="3" spans="1:18" ht="21" thickBot="1">
      <c r="A3" s="1477" t="s">
        <v>274</v>
      </c>
      <c r="B3" s="1478"/>
      <c r="C3" s="1478"/>
      <c r="D3" s="1478"/>
      <c r="E3" s="1478"/>
      <c r="F3" s="1478"/>
      <c r="G3" s="1478"/>
      <c r="H3" s="1478"/>
      <c r="I3" s="1478"/>
      <c r="J3" s="1478"/>
      <c r="K3" s="517"/>
    </row>
    <row r="4" spans="1:18" ht="27.75" thickBot="1">
      <c r="A4" s="448" t="s">
        <v>19</v>
      </c>
      <c r="B4" s="519" t="s">
        <v>18</v>
      </c>
      <c r="C4" s="449" t="s">
        <v>124</v>
      </c>
      <c r="D4" s="450" t="s">
        <v>20</v>
      </c>
      <c r="E4" s="665" t="s">
        <v>179</v>
      </c>
      <c r="F4" s="23" t="s">
        <v>179</v>
      </c>
      <c r="G4" s="23" t="s">
        <v>180</v>
      </c>
      <c r="H4" s="24" t="s">
        <v>181</v>
      </c>
      <c r="I4" s="163" t="s">
        <v>23</v>
      </c>
      <c r="J4" s="666" t="s">
        <v>132</v>
      </c>
      <c r="K4" s="667" t="s">
        <v>133</v>
      </c>
    </row>
    <row r="5" spans="1:18" ht="18.75">
      <c r="A5" s="465" t="s">
        <v>52</v>
      </c>
      <c r="B5" s="577">
        <v>2</v>
      </c>
      <c r="C5" s="466" t="s">
        <v>3</v>
      </c>
      <c r="D5" s="1215" t="s">
        <v>7</v>
      </c>
      <c r="E5" s="1188">
        <v>89</v>
      </c>
      <c r="F5" s="34">
        <v>95</v>
      </c>
      <c r="G5" s="34">
        <v>180</v>
      </c>
      <c r="H5" s="579">
        <v>174</v>
      </c>
      <c r="I5" s="674">
        <f>SUM(E5:H5)</f>
        <v>538</v>
      </c>
      <c r="J5" s="1200"/>
      <c r="K5" s="1201"/>
    </row>
    <row r="6" spans="1:18" ht="19.5" thickBot="1">
      <c r="A6" s="1223" t="s">
        <v>53</v>
      </c>
      <c r="B6" s="1224">
        <v>2434</v>
      </c>
      <c r="C6" s="1225" t="s">
        <v>3</v>
      </c>
      <c r="D6" s="1226" t="s">
        <v>9</v>
      </c>
      <c r="E6" s="1227">
        <v>92</v>
      </c>
      <c r="F6" s="1065">
        <v>94</v>
      </c>
      <c r="G6" s="1065">
        <v>158</v>
      </c>
      <c r="H6" s="1228">
        <v>167</v>
      </c>
      <c r="I6" s="817">
        <f>SUM(E6:H6)</f>
        <v>511</v>
      </c>
      <c r="J6" s="1525"/>
      <c r="K6" s="1526"/>
    </row>
    <row r="7" spans="1:18" ht="18.75">
      <c r="A7" s="501" t="s">
        <v>206</v>
      </c>
      <c r="B7" s="676">
        <v>169</v>
      </c>
      <c r="C7" s="622" t="s">
        <v>4</v>
      </c>
      <c r="D7" s="623" t="s">
        <v>7</v>
      </c>
      <c r="E7" s="135">
        <v>91</v>
      </c>
      <c r="F7" s="44">
        <v>91</v>
      </c>
      <c r="G7" s="44">
        <v>167</v>
      </c>
      <c r="H7" s="136">
        <v>154</v>
      </c>
      <c r="I7" s="833">
        <f t="shared" ref="I7" si="0">SUM(E7:H7)</f>
        <v>503</v>
      </c>
      <c r="J7" s="464" t="str">
        <f t="shared" ref="J7" si="1">IF(I7&gt;549,"Yes","NO")</f>
        <v>NO</v>
      </c>
      <c r="K7" s="671"/>
    </row>
    <row r="8" spans="1:18" ht="18.75">
      <c r="A8" s="501" t="s">
        <v>214</v>
      </c>
      <c r="B8" s="676">
        <v>2138</v>
      </c>
      <c r="C8" s="572" t="s">
        <v>4</v>
      </c>
      <c r="D8" s="623" t="s">
        <v>9</v>
      </c>
      <c r="E8" s="135">
        <v>176</v>
      </c>
      <c r="F8" s="44">
        <v>161</v>
      </c>
      <c r="G8" s="44">
        <v>149</v>
      </c>
      <c r="H8" s="136"/>
      <c r="I8" s="669">
        <f t="shared" ref="I8:I21" si="2">SUM(E8:H8)</f>
        <v>486</v>
      </c>
      <c r="J8" s="493" t="str">
        <f>IF(I8&gt;489,"Yes","NO")</f>
        <v>NO</v>
      </c>
      <c r="K8" s="671" t="str">
        <f>IF(J8="Yes","S","")</f>
        <v/>
      </c>
    </row>
    <row r="9" spans="1:18" ht="18.75">
      <c r="A9" s="501" t="s">
        <v>136</v>
      </c>
      <c r="B9" s="676">
        <v>283</v>
      </c>
      <c r="C9" s="622" t="s">
        <v>4</v>
      </c>
      <c r="D9" s="623" t="s">
        <v>2</v>
      </c>
      <c r="E9" s="135">
        <v>83</v>
      </c>
      <c r="F9" s="44">
        <v>75</v>
      </c>
      <c r="G9" s="44">
        <v>162</v>
      </c>
      <c r="H9" s="896">
        <v>137</v>
      </c>
      <c r="I9" s="669">
        <f t="shared" si="2"/>
        <v>457</v>
      </c>
      <c r="J9" s="493" t="str">
        <f>IF(I9&gt;489,"Yes","NO")</f>
        <v>NO</v>
      </c>
      <c r="K9" s="671"/>
    </row>
    <row r="10" spans="1:18" ht="19.5" thickBot="1">
      <c r="A10" s="501" t="s">
        <v>259</v>
      </c>
      <c r="B10" s="676">
        <v>42</v>
      </c>
      <c r="C10" s="622" t="s">
        <v>4</v>
      </c>
      <c r="D10" s="623" t="s">
        <v>2</v>
      </c>
      <c r="E10" s="135">
        <v>70</v>
      </c>
      <c r="F10" s="44">
        <v>73</v>
      </c>
      <c r="G10" s="44">
        <v>117</v>
      </c>
      <c r="H10" s="928">
        <v>103</v>
      </c>
      <c r="I10" s="669">
        <f t="shared" si="2"/>
        <v>363</v>
      </c>
      <c r="J10" s="493" t="str">
        <f>IF(I10&gt;489,"Yes","NO")</f>
        <v>NO</v>
      </c>
      <c r="K10" s="671"/>
    </row>
    <row r="11" spans="1:18" ht="18.75">
      <c r="A11" s="465" t="s">
        <v>55</v>
      </c>
      <c r="B11" s="577">
        <v>641</v>
      </c>
      <c r="C11" s="498" t="s">
        <v>6</v>
      </c>
      <c r="D11" s="578" t="s">
        <v>14</v>
      </c>
      <c r="E11" s="926">
        <v>87</v>
      </c>
      <c r="F11" s="34">
        <v>82</v>
      </c>
      <c r="G11" s="34">
        <v>160</v>
      </c>
      <c r="H11" s="579">
        <v>156</v>
      </c>
      <c r="I11" s="674">
        <f t="shared" si="2"/>
        <v>485</v>
      </c>
      <c r="J11" s="675" t="str">
        <f>IF(I11&gt;519,"Yes","NO")</f>
        <v>NO</v>
      </c>
      <c r="K11" s="670"/>
    </row>
    <row r="12" spans="1:18" ht="19.5" thickBot="1">
      <c r="A12" s="812" t="s">
        <v>250</v>
      </c>
      <c r="B12" s="822">
        <v>3623</v>
      </c>
      <c r="C12" s="891" t="s">
        <v>6</v>
      </c>
      <c r="D12" s="892" t="s">
        <v>7</v>
      </c>
      <c r="E12" s="733">
        <v>80</v>
      </c>
      <c r="F12" s="114">
        <v>88</v>
      </c>
      <c r="G12" s="114">
        <v>141</v>
      </c>
      <c r="H12" s="731">
        <v>136</v>
      </c>
      <c r="I12" s="817">
        <f t="shared" si="2"/>
        <v>445</v>
      </c>
      <c r="J12" s="992" t="str">
        <f>IF(I12&gt;519,"Yes","NO")</f>
        <v>NO</v>
      </c>
      <c r="K12" s="893"/>
    </row>
    <row r="13" spans="1:18" ht="18.75">
      <c r="A13" s="501" t="s">
        <v>252</v>
      </c>
      <c r="B13" s="676">
        <v>723</v>
      </c>
      <c r="C13" s="622" t="s">
        <v>5</v>
      </c>
      <c r="D13" s="574" t="s">
        <v>14</v>
      </c>
      <c r="E13" s="135">
        <v>88</v>
      </c>
      <c r="F13" s="44">
        <v>86</v>
      </c>
      <c r="G13" s="44">
        <v>157</v>
      </c>
      <c r="H13" s="928">
        <v>134</v>
      </c>
      <c r="I13" s="669">
        <f t="shared" si="2"/>
        <v>465</v>
      </c>
      <c r="J13" s="493" t="str">
        <f t="shared" ref="J13:J20" si="3">IF(I13&gt;489,"Yes","NO")</f>
        <v>NO</v>
      </c>
      <c r="K13" s="671"/>
    </row>
    <row r="14" spans="1:18" ht="18.75">
      <c r="A14" s="501" t="s">
        <v>221</v>
      </c>
      <c r="B14" s="676">
        <v>2521</v>
      </c>
      <c r="C14" s="622" t="s">
        <v>5</v>
      </c>
      <c r="D14" s="561" t="s">
        <v>9</v>
      </c>
      <c r="E14" s="135">
        <v>166</v>
      </c>
      <c r="F14" s="44">
        <v>149</v>
      </c>
      <c r="G14" s="44">
        <v>145</v>
      </c>
      <c r="H14" s="896"/>
      <c r="I14" s="669">
        <f t="shared" si="2"/>
        <v>460</v>
      </c>
      <c r="J14" s="677" t="str">
        <f>IF(I14&gt;519,"Yes","NO")</f>
        <v>NO</v>
      </c>
      <c r="K14" s="671" t="str">
        <f t="shared" ref="K14" si="4">IF(J14="Yes","G","")</f>
        <v/>
      </c>
    </row>
    <row r="15" spans="1:18" ht="18.75">
      <c r="A15" s="628" t="s">
        <v>137</v>
      </c>
      <c r="B15" s="678">
        <v>1143</v>
      </c>
      <c r="C15" s="679" t="s">
        <v>5</v>
      </c>
      <c r="D15" s="681" t="s">
        <v>9</v>
      </c>
      <c r="E15" s="197">
        <v>163</v>
      </c>
      <c r="F15" s="52">
        <v>137</v>
      </c>
      <c r="G15" s="52">
        <v>149</v>
      </c>
      <c r="H15" s="198"/>
      <c r="I15" s="668">
        <f t="shared" si="2"/>
        <v>449</v>
      </c>
      <c r="J15" s="464" t="str">
        <f t="shared" si="3"/>
        <v>NO</v>
      </c>
      <c r="K15" s="672"/>
    </row>
    <row r="16" spans="1:18" ht="18.75">
      <c r="A16" s="628" t="s">
        <v>215</v>
      </c>
      <c r="B16" s="678">
        <v>1264</v>
      </c>
      <c r="C16" s="679" t="s">
        <v>5</v>
      </c>
      <c r="D16" s="680" t="s">
        <v>7</v>
      </c>
      <c r="E16" s="197">
        <v>159</v>
      </c>
      <c r="F16" s="52">
        <v>149</v>
      </c>
      <c r="G16" s="52">
        <v>128</v>
      </c>
      <c r="H16" s="198"/>
      <c r="I16" s="668">
        <f t="shared" si="2"/>
        <v>436</v>
      </c>
      <c r="J16" s="464" t="str">
        <f t="shared" si="3"/>
        <v>NO</v>
      </c>
      <c r="K16" s="672"/>
    </row>
    <row r="17" spans="1:11" ht="18.75">
      <c r="A17" s="628" t="s">
        <v>220</v>
      </c>
      <c r="B17" s="678">
        <v>1569</v>
      </c>
      <c r="C17" s="679" t="s">
        <v>5</v>
      </c>
      <c r="D17" s="680" t="s">
        <v>9</v>
      </c>
      <c r="E17" s="197">
        <v>81</v>
      </c>
      <c r="F17" s="52">
        <v>79</v>
      </c>
      <c r="G17" s="52">
        <v>131</v>
      </c>
      <c r="H17" s="693">
        <v>143</v>
      </c>
      <c r="I17" s="668">
        <f t="shared" si="2"/>
        <v>434</v>
      </c>
      <c r="J17" s="464" t="str">
        <f t="shared" ref="J17" si="5">IF(I17&gt;489,"Yes","NO")</f>
        <v>NO</v>
      </c>
      <c r="K17" s="672"/>
    </row>
    <row r="18" spans="1:11" ht="18.75">
      <c r="A18" s="628" t="s">
        <v>89</v>
      </c>
      <c r="B18" s="678">
        <v>1291</v>
      </c>
      <c r="C18" s="679" t="s">
        <v>5</v>
      </c>
      <c r="D18" s="680" t="s">
        <v>7</v>
      </c>
      <c r="E18" s="197">
        <v>83</v>
      </c>
      <c r="F18" s="52">
        <v>66</v>
      </c>
      <c r="G18" s="52">
        <v>139</v>
      </c>
      <c r="H18" s="693">
        <v>135</v>
      </c>
      <c r="I18" s="668">
        <f t="shared" si="2"/>
        <v>423</v>
      </c>
      <c r="J18" s="464" t="str">
        <f t="shared" ref="J18" si="6">IF(I18&gt;489,"Yes","NO")</f>
        <v>NO</v>
      </c>
      <c r="K18" s="672"/>
    </row>
    <row r="19" spans="1:11" ht="18.75">
      <c r="A19" s="628" t="s">
        <v>109</v>
      </c>
      <c r="B19" s="678">
        <v>1577</v>
      </c>
      <c r="C19" s="679" t="s">
        <v>5</v>
      </c>
      <c r="D19" s="681" t="s">
        <v>14</v>
      </c>
      <c r="E19" s="197">
        <v>80</v>
      </c>
      <c r="F19" s="52">
        <v>73</v>
      </c>
      <c r="G19" s="52">
        <v>135</v>
      </c>
      <c r="H19" s="788">
        <v>121</v>
      </c>
      <c r="I19" s="668">
        <f t="shared" si="2"/>
        <v>409</v>
      </c>
      <c r="J19" s="464" t="str">
        <f t="shared" ref="J19" si="7">IF(I19&gt;489,"Yes","NO")</f>
        <v>NO</v>
      </c>
      <c r="K19" s="672"/>
    </row>
    <row r="20" spans="1:11" ht="18.75">
      <c r="A20" s="628" t="s">
        <v>251</v>
      </c>
      <c r="B20" s="678">
        <v>1172</v>
      </c>
      <c r="C20" s="679" t="s">
        <v>5</v>
      </c>
      <c r="D20" s="681" t="s">
        <v>7</v>
      </c>
      <c r="E20" s="197">
        <v>76</v>
      </c>
      <c r="F20" s="52">
        <v>83</v>
      </c>
      <c r="G20" s="52">
        <v>120</v>
      </c>
      <c r="H20" s="198">
        <v>127</v>
      </c>
      <c r="I20" s="668">
        <f t="shared" si="2"/>
        <v>406</v>
      </c>
      <c r="J20" s="464" t="str">
        <f t="shared" si="3"/>
        <v>NO</v>
      </c>
      <c r="K20" s="672"/>
    </row>
    <row r="21" spans="1:11" ht="19.5" thickBot="1">
      <c r="A21" s="628" t="s">
        <v>190</v>
      </c>
      <c r="B21" s="678">
        <v>1054</v>
      </c>
      <c r="C21" s="679" t="s">
        <v>5</v>
      </c>
      <c r="D21" s="681" t="s">
        <v>9</v>
      </c>
      <c r="E21" s="197">
        <v>64</v>
      </c>
      <c r="F21" s="52">
        <v>68</v>
      </c>
      <c r="G21" s="52">
        <v>119</v>
      </c>
      <c r="H21" s="788">
        <v>80</v>
      </c>
      <c r="I21" s="668">
        <f t="shared" si="2"/>
        <v>331</v>
      </c>
      <c r="J21" s="464" t="str">
        <f t="shared" ref="J21" si="8">IF(I21&gt;489,"Yes","NO")</f>
        <v>NO</v>
      </c>
      <c r="K21" s="672"/>
    </row>
    <row r="22" spans="1:11" ht="19.5" thickBot="1">
      <c r="A22" s="683" t="s">
        <v>85</v>
      </c>
      <c r="B22" s="1504" t="s">
        <v>182</v>
      </c>
      <c r="C22" s="1505"/>
      <c r="D22" s="1505"/>
      <c r="E22" s="1496"/>
      <c r="F22" s="1496"/>
      <c r="G22" s="1496"/>
      <c r="H22" s="1496"/>
      <c r="I22" s="1505"/>
      <c r="J22" s="1505"/>
      <c r="K22" s="1506"/>
    </row>
  </sheetData>
  <sortState ref="A5:I6">
    <sortCondition descending="1" ref="I5:I6"/>
  </sortState>
  <mergeCells count="4">
    <mergeCell ref="A3:J3"/>
    <mergeCell ref="J6:K6"/>
    <mergeCell ref="B22:K22"/>
    <mergeCell ref="A1:R1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topLeftCell="A19" workbookViewId="0">
      <selection activeCell="H25" sqref="H25"/>
    </sheetView>
  </sheetViews>
  <sheetFormatPr defaultRowHeight="15"/>
  <cols>
    <col min="1" max="1" width="6.42578125" customWidth="1"/>
    <col min="3" max="3" width="25.7109375" customWidth="1"/>
    <col min="6" max="6" width="0" hidden="1" customWidth="1"/>
    <col min="18" max="18" width="0.140625" customWidth="1"/>
    <col min="19" max="19" width="9.140625" hidden="1" customWidth="1"/>
  </cols>
  <sheetData>
    <row r="1" spans="1:23" ht="16.5" thickBot="1">
      <c r="A1" s="3"/>
      <c r="B1" s="14"/>
      <c r="C1" s="5"/>
      <c r="D1" s="15"/>
      <c r="E1" s="6"/>
      <c r="F1" s="16"/>
      <c r="G1" s="12"/>
      <c r="H1" s="12"/>
      <c r="I1" s="12"/>
      <c r="J1" s="12"/>
      <c r="K1" s="12"/>
      <c r="L1" s="12"/>
      <c r="M1" s="17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  <c r="T2" s="12"/>
      <c r="U2" s="12"/>
      <c r="V2" s="12"/>
      <c r="W2" s="12"/>
    </row>
    <row r="3" spans="1:23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  <c r="T3" s="12"/>
      <c r="U3" s="12"/>
      <c r="V3" s="12"/>
      <c r="W3" s="12"/>
    </row>
    <row r="4" spans="1:23" ht="24" thickBot="1">
      <c r="A4" s="13"/>
      <c r="B4" s="1422" t="s">
        <v>184</v>
      </c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30"/>
      <c r="T4" s="13"/>
      <c r="U4" s="13"/>
      <c r="V4" s="13"/>
      <c r="W4" s="13"/>
    </row>
    <row r="5" spans="1:23" ht="24.75" customHeight="1" thickBot="1">
      <c r="A5" s="3"/>
      <c r="B5" s="1415" t="s">
        <v>38</v>
      </c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7"/>
      <c r="R5" s="12"/>
      <c r="S5" s="12"/>
      <c r="T5" s="12"/>
      <c r="U5" s="12"/>
      <c r="V5" s="12"/>
      <c r="W5" s="12"/>
    </row>
    <row r="6" spans="1:23" ht="32.25" thickBot="1">
      <c r="A6" s="3"/>
      <c r="B6" s="18" t="s">
        <v>185</v>
      </c>
      <c r="C6" s="19" t="s">
        <v>19</v>
      </c>
      <c r="D6" s="20" t="s">
        <v>20</v>
      </c>
      <c r="E6" s="81" t="s">
        <v>21</v>
      </c>
      <c r="F6" s="688"/>
      <c r="G6" s="23" t="s">
        <v>22</v>
      </c>
      <c r="H6" s="23">
        <v>10</v>
      </c>
      <c r="I6" s="23">
        <v>9</v>
      </c>
      <c r="J6" s="23">
        <v>8</v>
      </c>
      <c r="K6" s="24">
        <v>7</v>
      </c>
      <c r="L6" s="97">
        <v>0</v>
      </c>
      <c r="M6" s="98" t="s">
        <v>23</v>
      </c>
      <c r="N6" s="99" t="s">
        <v>39</v>
      </c>
      <c r="O6" s="26" t="s">
        <v>25</v>
      </c>
      <c r="P6" s="27" t="s">
        <v>26</v>
      </c>
      <c r="Q6" s="28" t="s">
        <v>27</v>
      </c>
      <c r="R6" s="12"/>
      <c r="S6" s="12"/>
      <c r="T6" s="12"/>
      <c r="U6" s="12"/>
      <c r="V6" s="12"/>
      <c r="W6" s="12"/>
    </row>
    <row r="7" spans="1:23" ht="16.5" thickBot="1">
      <c r="A7" s="29" t="s">
        <v>40</v>
      </c>
      <c r="B7" s="139">
        <v>1786</v>
      </c>
      <c r="C7" s="1308" t="s">
        <v>29</v>
      </c>
      <c r="D7" s="853" t="s">
        <v>14</v>
      </c>
      <c r="E7" s="854" t="s">
        <v>41</v>
      </c>
      <c r="F7" s="69">
        <v>4</v>
      </c>
      <c r="G7" s="855">
        <v>33</v>
      </c>
      <c r="H7" s="855">
        <v>24</v>
      </c>
      <c r="I7" s="855">
        <v>3</v>
      </c>
      <c r="J7" s="855"/>
      <c r="K7" s="855"/>
      <c r="L7" s="1261"/>
      <c r="M7" s="1262">
        <f t="shared" ref="M7" si="0">(G7*10)+(H7*10)+(I7*9)+(J7*8)+(K7*7)</f>
        <v>597</v>
      </c>
      <c r="N7" s="1263">
        <f t="shared" ref="N7:N14" si="1">SUM(G7:L7)</f>
        <v>60</v>
      </c>
      <c r="O7" s="755"/>
      <c r="P7" s="756"/>
      <c r="Q7" s="63" t="str">
        <f t="shared" ref="Q7:Q11" si="2">IF(M7=0," ",IF(N7&lt;&gt;60,"ERROR!"," "))</f>
        <v xml:space="preserve"> </v>
      </c>
      <c r="R7" s="12"/>
      <c r="S7" s="12"/>
      <c r="T7" s="12"/>
      <c r="U7" s="12"/>
      <c r="V7" s="12"/>
      <c r="W7" s="12"/>
    </row>
    <row r="8" spans="1:23" ht="15.75">
      <c r="A8" s="29" t="s">
        <v>40</v>
      </c>
      <c r="B8" s="161">
        <v>1465</v>
      </c>
      <c r="C8" s="869" t="s">
        <v>30</v>
      </c>
      <c r="D8" s="49" t="s">
        <v>14</v>
      </c>
      <c r="E8" s="50" t="s">
        <v>4</v>
      </c>
      <c r="F8" s="51" t="e">
        <f>VLOOKUP(E8,$X$7:$X$7,2,FALSE)</f>
        <v>#N/A</v>
      </c>
      <c r="G8" s="52">
        <v>17</v>
      </c>
      <c r="H8" s="52">
        <v>11</v>
      </c>
      <c r="I8" s="52">
        <v>24</v>
      </c>
      <c r="J8" s="52">
        <v>5</v>
      </c>
      <c r="K8" s="52">
        <v>2</v>
      </c>
      <c r="L8" s="113">
        <v>1</v>
      </c>
      <c r="M8" s="124">
        <f>(G8*10)+(H8*10)+(I8*9)+(J8*8)+(K8*7)</f>
        <v>550</v>
      </c>
      <c r="N8" s="51">
        <f>SUM(G8:L8)</f>
        <v>60</v>
      </c>
      <c r="O8" s="132" t="str">
        <f>IF(M8&gt;574,"Yes","NO")</f>
        <v>NO</v>
      </c>
      <c r="P8" s="110"/>
      <c r="Q8" s="56"/>
      <c r="R8" s="12"/>
      <c r="S8" s="12"/>
      <c r="T8" s="12"/>
      <c r="U8" s="12"/>
      <c r="V8" s="12"/>
      <c r="W8" s="12"/>
    </row>
    <row r="9" spans="1:23" ht="16.5" thickBot="1">
      <c r="A9" s="29" t="s">
        <v>40</v>
      </c>
      <c r="B9" s="1106">
        <v>1764</v>
      </c>
      <c r="C9" s="868" t="s">
        <v>45</v>
      </c>
      <c r="D9" s="65" t="s">
        <v>14</v>
      </c>
      <c r="E9" s="66" t="s">
        <v>4</v>
      </c>
      <c r="F9" s="67" t="e">
        <f>VLOOKUP(E9,$X$7:$X$7,2,FALSE)</f>
        <v>#N/A</v>
      </c>
      <c r="G9" s="68">
        <v>9</v>
      </c>
      <c r="H9" s="68">
        <v>15</v>
      </c>
      <c r="I9" s="68">
        <v>21</v>
      </c>
      <c r="J9" s="68">
        <v>11</v>
      </c>
      <c r="K9" s="68">
        <v>3</v>
      </c>
      <c r="L9" s="1312">
        <v>1</v>
      </c>
      <c r="M9" s="1313">
        <f>(G9*10)+(H9*10)+(I9*9)+(J9*8)+(K9*7)</f>
        <v>538</v>
      </c>
      <c r="N9" s="67">
        <f>SUM(G9:L9)</f>
        <v>60</v>
      </c>
      <c r="O9" s="1305" t="str">
        <f>IF(M9&gt;574,"Yes","NO")</f>
        <v>NO</v>
      </c>
      <c r="P9" s="1314"/>
      <c r="Q9" s="56" t="str">
        <f>IF(M9=0," ",IF(N9&lt;&gt;60,"ERROR!"," "))</f>
        <v xml:space="preserve"> </v>
      </c>
      <c r="R9" s="12"/>
      <c r="S9" s="12"/>
      <c r="T9" s="12"/>
      <c r="U9" s="12"/>
      <c r="V9" s="12"/>
      <c r="W9" s="12"/>
    </row>
    <row r="10" spans="1:23" ht="15.75">
      <c r="A10" s="29" t="s">
        <v>40</v>
      </c>
      <c r="B10" s="1108">
        <v>1477</v>
      </c>
      <c r="C10" s="1107" t="s">
        <v>268</v>
      </c>
      <c r="D10" s="31" t="s">
        <v>14</v>
      </c>
      <c r="E10" s="32" t="s">
        <v>6</v>
      </c>
      <c r="F10" s="33"/>
      <c r="G10" s="34">
        <v>11</v>
      </c>
      <c r="H10" s="34">
        <v>13</v>
      </c>
      <c r="I10" s="34">
        <v>23</v>
      </c>
      <c r="J10" s="34">
        <v>13</v>
      </c>
      <c r="K10" s="34"/>
      <c r="L10" s="1306"/>
      <c r="M10" s="1307">
        <f>(G10*10)+(H10*10)+(I10*9)+(J10*8)+(K10*7)</f>
        <v>551</v>
      </c>
      <c r="N10" s="33">
        <f>SUM(G10:L10)</f>
        <v>60</v>
      </c>
      <c r="O10" s="1315" t="str">
        <f>IF(M10&gt;574,"Yes","NO")</f>
        <v>NO</v>
      </c>
      <c r="P10" s="1311"/>
      <c r="Q10" s="56"/>
      <c r="R10" s="12"/>
      <c r="S10" s="12"/>
      <c r="T10" s="12"/>
      <c r="U10" s="12"/>
      <c r="V10" s="12"/>
      <c r="W10" s="12"/>
    </row>
    <row r="11" spans="1:23" ht="16.5" thickBot="1">
      <c r="A11" s="29" t="s">
        <v>40</v>
      </c>
      <c r="B11" s="79">
        <v>638</v>
      </c>
      <c r="C11" s="1309" t="s">
        <v>270</v>
      </c>
      <c r="D11" s="1258" t="s">
        <v>14</v>
      </c>
      <c r="E11" s="92" t="s">
        <v>6</v>
      </c>
      <c r="F11" s="93" t="e">
        <f>VLOOKUP(E11,$X$7:$X$7,2,FALSE)</f>
        <v>#N/A</v>
      </c>
      <c r="G11" s="114">
        <v>6</v>
      </c>
      <c r="H11" s="114">
        <v>17</v>
      </c>
      <c r="I11" s="114">
        <v>23</v>
      </c>
      <c r="J11" s="114">
        <v>12</v>
      </c>
      <c r="K11" s="114">
        <v>2</v>
      </c>
      <c r="L11" s="1259"/>
      <c r="M11" s="1260">
        <f t="shared" ref="M11" si="3">(G11*10)+(H11*10)+(I11*9)+(J11*8)+(K11*7)</f>
        <v>547</v>
      </c>
      <c r="N11" s="93">
        <f t="shared" si="1"/>
        <v>60</v>
      </c>
      <c r="O11" s="757" t="str">
        <f t="shared" ref="O11:O13" si="4">IF(M11&gt;574,"Yes","NO")</f>
        <v>NO</v>
      </c>
      <c r="P11" s="1310" t="str">
        <f t="shared" ref="P11:P13" si="5">IF(O11="yes","M","")</f>
        <v/>
      </c>
      <c r="Q11" s="56" t="str">
        <f t="shared" si="2"/>
        <v xml:space="preserve"> </v>
      </c>
      <c r="R11" s="12"/>
      <c r="S11" s="12"/>
      <c r="T11" s="12"/>
      <c r="U11" s="12"/>
      <c r="V11" s="12"/>
      <c r="W11" s="12"/>
    </row>
    <row r="12" spans="1:23" ht="15.75">
      <c r="A12" s="29" t="s">
        <v>40</v>
      </c>
      <c r="B12" s="161">
        <v>1569</v>
      </c>
      <c r="C12" s="869" t="s">
        <v>220</v>
      </c>
      <c r="D12" s="49" t="s">
        <v>9</v>
      </c>
      <c r="E12" s="50" t="s">
        <v>5</v>
      </c>
      <c r="F12" s="51"/>
      <c r="G12" s="52">
        <v>14</v>
      </c>
      <c r="H12" s="52">
        <v>7</v>
      </c>
      <c r="I12" s="52">
        <v>28</v>
      </c>
      <c r="J12" s="52">
        <v>9</v>
      </c>
      <c r="K12" s="52">
        <v>1</v>
      </c>
      <c r="L12" s="113">
        <v>1</v>
      </c>
      <c r="M12" s="124">
        <f>(G12*10)+(H12*10)+(I12*9)+(J12*8)+(K12*7)</f>
        <v>541</v>
      </c>
      <c r="N12" s="51">
        <f t="shared" ref="N12" si="6">SUM(G12:L12)</f>
        <v>60</v>
      </c>
      <c r="O12" s="133" t="str">
        <f t="shared" ref="O12" si="7">IF(M12&gt;574,"Yes","NO")</f>
        <v>NO</v>
      </c>
      <c r="P12" s="110"/>
      <c r="Q12" s="56"/>
      <c r="R12" s="12"/>
      <c r="S12" s="12"/>
      <c r="T12" s="12"/>
      <c r="U12" s="12"/>
      <c r="V12" s="12"/>
      <c r="W12" s="12"/>
    </row>
    <row r="13" spans="1:23" ht="15.75">
      <c r="A13" s="29" t="s">
        <v>40</v>
      </c>
      <c r="B13" s="161">
        <v>2786</v>
      </c>
      <c r="C13" s="869" t="s">
        <v>48</v>
      </c>
      <c r="D13" s="49" t="s">
        <v>14</v>
      </c>
      <c r="E13" s="50" t="s">
        <v>5</v>
      </c>
      <c r="F13" s="51" t="e">
        <f>VLOOKUP(E13,$X$7:$X$7,2,FALSE)</f>
        <v>#N/A</v>
      </c>
      <c r="G13" s="52">
        <v>6</v>
      </c>
      <c r="H13" s="52">
        <v>12</v>
      </c>
      <c r="I13" s="52">
        <v>23</v>
      </c>
      <c r="J13" s="52">
        <v>13</v>
      </c>
      <c r="K13" s="52">
        <v>2</v>
      </c>
      <c r="L13" s="113">
        <v>4</v>
      </c>
      <c r="M13" s="124">
        <f>(G13*10)+(H13*10)+(I13*9)+(J13*8)+(K13*7)</f>
        <v>505</v>
      </c>
      <c r="N13" s="51">
        <f t="shared" si="1"/>
        <v>60</v>
      </c>
      <c r="O13" s="133" t="str">
        <f t="shared" si="4"/>
        <v>NO</v>
      </c>
      <c r="P13" s="110" t="str">
        <f t="shared" si="5"/>
        <v/>
      </c>
      <c r="Q13" s="56"/>
      <c r="R13" s="12"/>
      <c r="S13" s="12"/>
      <c r="T13" s="12"/>
      <c r="U13" s="12"/>
      <c r="V13" s="12"/>
      <c r="W13" s="12"/>
    </row>
    <row r="14" spans="1:23" ht="16.5" thickBot="1">
      <c r="A14" s="29" t="s">
        <v>40</v>
      </c>
      <c r="B14" s="1109">
        <v>1615</v>
      </c>
      <c r="C14" s="869" t="s">
        <v>207</v>
      </c>
      <c r="D14" s="49" t="s">
        <v>14</v>
      </c>
      <c r="E14" s="50" t="s">
        <v>5</v>
      </c>
      <c r="F14" s="51" t="e">
        <f>VLOOKUP(E14,$X$7:$X$7,2,FALSE)</f>
        <v>#N/A</v>
      </c>
      <c r="G14" s="52">
        <v>3</v>
      </c>
      <c r="H14" s="52">
        <v>5</v>
      </c>
      <c r="I14" s="52">
        <v>16</v>
      </c>
      <c r="J14" s="52">
        <v>11</v>
      </c>
      <c r="K14" s="52">
        <v>12</v>
      </c>
      <c r="L14" s="113">
        <v>13</v>
      </c>
      <c r="M14" s="124">
        <f>(G14*10)+(H14*10)+(I14*9)+(J14*8)+(K14*7)</f>
        <v>396</v>
      </c>
      <c r="N14" s="51">
        <f t="shared" si="1"/>
        <v>60</v>
      </c>
      <c r="O14" s="133"/>
      <c r="P14" s="110"/>
      <c r="Q14" s="56"/>
      <c r="R14" s="12"/>
      <c r="S14" s="12"/>
      <c r="T14" s="12"/>
      <c r="U14" s="12"/>
      <c r="V14" s="12"/>
      <c r="W14" s="12"/>
    </row>
    <row r="15" spans="1:23" ht="19.5" thickBot="1">
      <c r="A15" s="3"/>
      <c r="B15" s="79">
        <f>COUNT(B6:B14)</f>
        <v>8</v>
      </c>
      <c r="C15" s="1431" t="s">
        <v>32</v>
      </c>
      <c r="D15" s="1432"/>
      <c r="E15" s="1431" t="s">
        <v>49</v>
      </c>
      <c r="F15" s="1428"/>
      <c r="G15" s="1428"/>
      <c r="H15" s="1428"/>
      <c r="I15" s="1428"/>
      <c r="J15" s="1428"/>
      <c r="K15" s="1428"/>
      <c r="L15" s="1428"/>
      <c r="M15" s="1428"/>
      <c r="N15" s="1428"/>
      <c r="O15" s="1428"/>
      <c r="P15" s="1432"/>
      <c r="Q15" s="12"/>
      <c r="R15" s="12"/>
      <c r="S15" s="12"/>
      <c r="T15" s="12"/>
      <c r="U15" s="12"/>
      <c r="V15" s="12"/>
      <c r="W15" s="12"/>
    </row>
    <row r="16" spans="1:23" ht="18.75">
      <c r="A16" s="3"/>
      <c r="B16" s="849"/>
      <c r="C16" s="850"/>
      <c r="D16" s="850"/>
      <c r="E16" s="850"/>
      <c r="F16" s="850"/>
      <c r="G16" s="850"/>
      <c r="H16" s="850"/>
      <c r="I16" s="850"/>
      <c r="J16" s="850"/>
      <c r="K16" s="850"/>
      <c r="L16" s="850"/>
      <c r="M16" s="850"/>
      <c r="N16" s="850"/>
      <c r="O16" s="850"/>
      <c r="P16" s="850"/>
      <c r="Q16" s="12"/>
      <c r="R16" s="12"/>
      <c r="S16" s="12"/>
      <c r="T16" s="12"/>
      <c r="U16" s="12"/>
      <c r="V16" s="12"/>
      <c r="W16" s="12"/>
    </row>
    <row r="17" spans="1:23" ht="15.75" thickBot="1"/>
    <row r="18" spans="1:23" ht="27.75" customHeight="1" thickBot="1">
      <c r="A18" s="3"/>
      <c r="B18" s="1415" t="s">
        <v>50</v>
      </c>
      <c r="C18" s="1416"/>
      <c r="D18" s="1416"/>
      <c r="E18" s="1416"/>
      <c r="F18" s="1416"/>
      <c r="G18" s="1416"/>
      <c r="H18" s="1416"/>
      <c r="I18" s="1416"/>
      <c r="J18" s="1416"/>
      <c r="K18" s="1416"/>
      <c r="L18" s="1416"/>
      <c r="M18" s="1416"/>
      <c r="N18" s="1416"/>
      <c r="O18" s="1416"/>
      <c r="P18" s="1416"/>
      <c r="Q18" s="1417"/>
      <c r="R18" s="12"/>
      <c r="S18" s="12"/>
      <c r="T18" s="12"/>
      <c r="U18" s="12"/>
      <c r="V18" s="12"/>
      <c r="W18" s="12"/>
    </row>
    <row r="19" spans="1:23" ht="32.25" thickBot="1">
      <c r="A19" s="3"/>
      <c r="B19" s="790" t="s">
        <v>185</v>
      </c>
      <c r="C19" s="70" t="s">
        <v>19</v>
      </c>
      <c r="D19" s="791" t="s">
        <v>20</v>
      </c>
      <c r="E19" s="386" t="s">
        <v>21</v>
      </c>
      <c r="F19" s="792"/>
      <c r="G19" s="627" t="s">
        <v>22</v>
      </c>
      <c r="H19" s="627">
        <v>10</v>
      </c>
      <c r="I19" s="627">
        <v>9</v>
      </c>
      <c r="J19" s="627">
        <v>8</v>
      </c>
      <c r="K19" s="715">
        <v>7</v>
      </c>
      <c r="L19" s="793">
        <v>0</v>
      </c>
      <c r="M19" s="831" t="s">
        <v>23</v>
      </c>
      <c r="N19" s="103" t="s">
        <v>39</v>
      </c>
      <c r="O19" s="145" t="s">
        <v>25</v>
      </c>
      <c r="P19" s="146" t="s">
        <v>26</v>
      </c>
      <c r="Q19" s="85" t="s">
        <v>27</v>
      </c>
      <c r="R19" s="12"/>
      <c r="S19" s="12"/>
      <c r="T19" s="12"/>
      <c r="U19" s="12"/>
      <c r="V19" s="12"/>
      <c r="W19" s="12"/>
    </row>
    <row r="20" spans="1:23" ht="15.75">
      <c r="A20" s="29" t="s">
        <v>51</v>
      </c>
      <c r="B20" s="1301">
        <v>1786</v>
      </c>
      <c r="C20" s="33" t="s">
        <v>208</v>
      </c>
      <c r="D20" s="767" t="s">
        <v>14</v>
      </c>
      <c r="E20" s="1299" t="s">
        <v>3</v>
      </c>
      <c r="F20" s="1300"/>
      <c r="G20" s="177">
        <v>23</v>
      </c>
      <c r="H20" s="177">
        <v>15</v>
      </c>
      <c r="I20" s="177">
        <v>20</v>
      </c>
      <c r="J20" s="177">
        <v>2</v>
      </c>
      <c r="K20" s="1074"/>
      <c r="L20" s="1379"/>
      <c r="M20" s="38">
        <f t="shared" ref="M20" si="8">(G20*10)+(H20*10)+(I20*9)+(J20*8)+(K20*7)</f>
        <v>576</v>
      </c>
      <c r="N20" s="118">
        <f t="shared" ref="N20" si="9">SUM(G20:L20)</f>
        <v>60</v>
      </c>
      <c r="O20" s="711"/>
      <c r="P20" s="834"/>
      <c r="Q20" s="835"/>
      <c r="R20" s="12"/>
      <c r="S20" s="12"/>
      <c r="T20" s="12"/>
      <c r="U20" s="12"/>
      <c r="V20" s="12"/>
      <c r="W20" s="12"/>
    </row>
    <row r="21" spans="1:23" ht="16.5" thickBot="1">
      <c r="A21" s="29" t="s">
        <v>51</v>
      </c>
      <c r="B21" s="1302">
        <v>169</v>
      </c>
      <c r="C21" s="218" t="s">
        <v>206</v>
      </c>
      <c r="D21" s="1304" t="s">
        <v>7</v>
      </c>
      <c r="E21" s="1303" t="s">
        <v>3</v>
      </c>
      <c r="F21" s="1297"/>
      <c r="G21" s="213">
        <v>22</v>
      </c>
      <c r="H21" s="213">
        <v>5</v>
      </c>
      <c r="I21" s="213">
        <v>26</v>
      </c>
      <c r="J21" s="213">
        <v>6</v>
      </c>
      <c r="K21" s="213">
        <v>1</v>
      </c>
      <c r="L21" s="1298"/>
      <c r="M21" s="941">
        <f t="shared" ref="M21" si="10">(G21*10)+(H21*10)+(I21*9)+(J21*8)+(K21*7)</f>
        <v>559</v>
      </c>
      <c r="N21" s="942">
        <f t="shared" ref="N21" si="11">SUM(G21:L21)</f>
        <v>60</v>
      </c>
      <c r="O21" s="711"/>
      <c r="P21" s="834"/>
      <c r="Q21" s="835"/>
      <c r="R21" s="12"/>
      <c r="S21" s="12"/>
      <c r="T21" s="12"/>
      <c r="U21" s="12"/>
      <c r="V21" s="12"/>
      <c r="W21" s="12"/>
    </row>
    <row r="22" spans="1:23" ht="15.75">
      <c r="A22" s="29" t="s">
        <v>51</v>
      </c>
      <c r="B22" s="30">
        <v>1798</v>
      </c>
      <c r="C22" s="64" t="s">
        <v>58</v>
      </c>
      <c r="D22" s="31" t="s">
        <v>7</v>
      </c>
      <c r="E22" s="32" t="s">
        <v>4</v>
      </c>
      <c r="F22" s="33" t="e">
        <f t="shared" ref="F22" si="12">VLOOKUP(E22,$X$7:$X$7,2,FALSE)</f>
        <v>#N/A</v>
      </c>
      <c r="G22" s="34">
        <v>17</v>
      </c>
      <c r="H22" s="34">
        <v>23</v>
      </c>
      <c r="I22" s="34">
        <v>15</v>
      </c>
      <c r="J22" s="34">
        <v>5</v>
      </c>
      <c r="K22" s="34"/>
      <c r="L22" s="117"/>
      <c r="M22" s="25">
        <f t="shared" ref="M22" si="13">(G22*10)+(H22*10)+(I22*9)+(J22*8)+(K22*7)</f>
        <v>575</v>
      </c>
      <c r="N22" s="1272">
        <f t="shared" ref="N22:N30" si="14">SUM(G22:L22)</f>
        <v>60</v>
      </c>
      <c r="O22" s="123" t="str">
        <f t="shared" ref="O22" si="15">IF(M22&gt;589,"Yes","NO")</f>
        <v>NO</v>
      </c>
      <c r="P22" s="124" t="str">
        <f t="shared" ref="P22" si="16">IF(O22="yes","HM","")</f>
        <v/>
      </c>
      <c r="Q22" s="120" t="str">
        <f t="shared" ref="Q22:Q30" si="17">IF(M22=0," ",IF(N22&lt;&gt;60,"ERROR!"," "))</f>
        <v xml:space="preserve"> </v>
      </c>
      <c r="R22" s="125"/>
      <c r="S22" s="12"/>
      <c r="T22" s="12"/>
      <c r="U22" s="12"/>
      <c r="V22" s="12"/>
      <c r="W22" s="12"/>
    </row>
    <row r="23" spans="1:23" ht="16.5" thickBot="1">
      <c r="A23" s="29" t="s">
        <v>51</v>
      </c>
      <c r="B23" s="39">
        <v>1477</v>
      </c>
      <c r="C23" s="40" t="s">
        <v>268</v>
      </c>
      <c r="D23" s="41" t="s">
        <v>14</v>
      </c>
      <c r="E23" s="42" t="s">
        <v>4</v>
      </c>
      <c r="F23" s="43"/>
      <c r="G23" s="44">
        <v>20</v>
      </c>
      <c r="H23" s="44">
        <v>9</v>
      </c>
      <c r="I23" s="44">
        <v>20</v>
      </c>
      <c r="J23" s="44">
        <v>10</v>
      </c>
      <c r="K23" s="44">
        <v>1</v>
      </c>
      <c r="L23" s="131"/>
      <c r="M23" s="53">
        <f t="shared" ref="M23" si="18">(G23*10)+(H23*10)+(I23*9)+(J23*8)+(K23*7)</f>
        <v>557</v>
      </c>
      <c r="N23" s="759">
        <f t="shared" ref="N23" si="19">SUM(G23:L23)</f>
        <v>60</v>
      </c>
      <c r="O23" s="128" t="str">
        <f t="shared" ref="O23:O32" si="20">IF(M23&gt;574,"Yes","NO")</f>
        <v>NO</v>
      </c>
      <c r="P23" s="124"/>
      <c r="Q23" s="120"/>
      <c r="R23" s="125"/>
      <c r="S23" s="12"/>
      <c r="T23" s="12"/>
      <c r="U23" s="12"/>
      <c r="V23" s="12"/>
      <c r="W23" s="12"/>
    </row>
    <row r="24" spans="1:23" ht="15.75">
      <c r="A24" s="29" t="s">
        <v>51</v>
      </c>
      <c r="B24" s="100">
        <v>1143</v>
      </c>
      <c r="C24" s="760" t="s">
        <v>59</v>
      </c>
      <c r="D24" s="101" t="s">
        <v>9</v>
      </c>
      <c r="E24" s="86" t="s">
        <v>6</v>
      </c>
      <c r="F24" s="82" t="e">
        <f>VLOOKUP(E24,$X$7:$X$7,2,FALSE)</f>
        <v>#N/A</v>
      </c>
      <c r="G24" s="102">
        <v>13</v>
      </c>
      <c r="H24" s="102">
        <v>11</v>
      </c>
      <c r="I24" s="102">
        <v>22</v>
      </c>
      <c r="J24" s="102">
        <v>10</v>
      </c>
      <c r="K24" s="102">
        <v>4</v>
      </c>
      <c r="L24" s="116"/>
      <c r="M24" s="35">
        <f t="shared" ref="M24:M36" si="21">(G24*10)+(H24*10)+(I24*9)+(J24*8)+(K24*7)</f>
        <v>546</v>
      </c>
      <c r="N24" s="758">
        <f t="shared" ref="N24:N25" si="22">SUM(G24:L24)</f>
        <v>60</v>
      </c>
      <c r="O24" s="123" t="str">
        <f t="shared" ref="O24:O30" si="23">IF(M24&gt;574,"Yes","NO")</f>
        <v>NO</v>
      </c>
      <c r="P24" s="124"/>
      <c r="Q24" s="120"/>
      <c r="R24" s="12"/>
      <c r="S24" s="12"/>
      <c r="T24" s="12"/>
      <c r="U24" s="12"/>
      <c r="V24" s="12"/>
      <c r="W24" s="12"/>
    </row>
    <row r="25" spans="1:23" ht="15.75">
      <c r="A25" s="29" t="s">
        <v>51</v>
      </c>
      <c r="B25" s="104">
        <v>1264</v>
      </c>
      <c r="C25" s="130" t="s">
        <v>54</v>
      </c>
      <c r="D25" s="105" t="s">
        <v>7</v>
      </c>
      <c r="E25" s="106" t="s">
        <v>6</v>
      </c>
      <c r="F25" s="107" t="e">
        <f>VLOOKUP(E25,$X$7:$X$7,2,FALSE)</f>
        <v>#N/A</v>
      </c>
      <c r="G25" s="108">
        <v>8</v>
      </c>
      <c r="H25" s="108">
        <v>17</v>
      </c>
      <c r="I25" s="108">
        <v>25</v>
      </c>
      <c r="J25" s="108">
        <v>7</v>
      </c>
      <c r="K25" s="108">
        <v>2</v>
      </c>
      <c r="L25" s="129">
        <v>1</v>
      </c>
      <c r="M25" s="53">
        <f t="shared" si="21"/>
        <v>545</v>
      </c>
      <c r="N25" s="759">
        <f t="shared" si="22"/>
        <v>60</v>
      </c>
      <c r="O25" s="123" t="str">
        <f t="shared" si="23"/>
        <v>NO</v>
      </c>
      <c r="P25" s="124"/>
      <c r="Q25" s="120"/>
      <c r="R25" s="12"/>
      <c r="S25" s="12"/>
      <c r="T25" s="12"/>
      <c r="U25" s="12"/>
      <c r="V25" s="12"/>
      <c r="W25" s="12"/>
    </row>
    <row r="26" spans="1:23" ht="15.75">
      <c r="A26" s="29" t="s">
        <v>51</v>
      </c>
      <c r="B26" s="48">
        <v>638</v>
      </c>
      <c r="C26" s="73" t="s">
        <v>270</v>
      </c>
      <c r="D26" s="49" t="s">
        <v>14</v>
      </c>
      <c r="E26" s="50" t="s">
        <v>6</v>
      </c>
      <c r="F26" s="51"/>
      <c r="G26" s="52">
        <v>10</v>
      </c>
      <c r="H26" s="52">
        <v>5</v>
      </c>
      <c r="I26" s="52">
        <v>23</v>
      </c>
      <c r="J26" s="52">
        <v>11</v>
      </c>
      <c r="K26" s="52">
        <v>7</v>
      </c>
      <c r="L26" s="121">
        <v>4</v>
      </c>
      <c r="M26" s="53">
        <f t="shared" si="21"/>
        <v>494</v>
      </c>
      <c r="N26" s="759">
        <f t="shared" si="14"/>
        <v>60</v>
      </c>
      <c r="O26" s="123" t="str">
        <f t="shared" si="23"/>
        <v>NO</v>
      </c>
      <c r="P26" s="124" t="str">
        <f>IF(O26="yes","M","")</f>
        <v/>
      </c>
      <c r="Q26" s="120" t="str">
        <f>IF(M26=0," ",IF(N26&lt;&gt;60,"ERROR!"," "))</f>
        <v xml:space="preserve"> </v>
      </c>
      <c r="R26" s="12"/>
      <c r="S26" s="12"/>
      <c r="T26" s="12"/>
      <c r="U26" s="12"/>
      <c r="V26" s="12"/>
      <c r="W26" s="12"/>
    </row>
    <row r="27" spans="1:23" ht="15.75">
      <c r="A27" s="29" t="s">
        <v>51</v>
      </c>
      <c r="B27" s="48">
        <v>1956</v>
      </c>
      <c r="C27" s="73" t="s">
        <v>47</v>
      </c>
      <c r="D27" s="49" t="s">
        <v>13</v>
      </c>
      <c r="E27" s="50" t="s">
        <v>6</v>
      </c>
      <c r="F27" s="51" t="e">
        <f>VLOOKUP(E27,$X$7:$X$7,2,FALSE)</f>
        <v>#N/A</v>
      </c>
      <c r="G27" s="904">
        <v>7</v>
      </c>
      <c r="H27" s="904">
        <v>8</v>
      </c>
      <c r="I27" s="904">
        <v>15</v>
      </c>
      <c r="J27" s="904">
        <v>18</v>
      </c>
      <c r="K27" s="904">
        <v>9</v>
      </c>
      <c r="L27" s="904">
        <v>3</v>
      </c>
      <c r="M27" s="53">
        <f t="shared" si="21"/>
        <v>492</v>
      </c>
      <c r="N27" s="759">
        <f>SUM(G27:L27)</f>
        <v>60</v>
      </c>
      <c r="O27" s="123" t="str">
        <f t="shared" si="23"/>
        <v>NO</v>
      </c>
      <c r="P27" s="124"/>
      <c r="Q27" s="120"/>
      <c r="R27" s="12"/>
      <c r="S27" s="12"/>
      <c r="T27" s="12"/>
      <c r="U27" s="12"/>
      <c r="V27" s="12"/>
      <c r="W27" s="12"/>
    </row>
    <row r="28" spans="1:23" ht="15.75">
      <c r="A28" s="29" t="s">
        <v>51</v>
      </c>
      <c r="B28" s="48">
        <v>1569</v>
      </c>
      <c r="C28" s="73" t="s">
        <v>220</v>
      </c>
      <c r="D28" s="49" t="s">
        <v>9</v>
      </c>
      <c r="E28" s="50" t="s">
        <v>6</v>
      </c>
      <c r="F28" s="51" t="e">
        <f>VLOOKUP(E28,$X$7:$X$7,2,FALSE)</f>
        <v>#N/A</v>
      </c>
      <c r="G28" s="52">
        <v>6</v>
      </c>
      <c r="H28" s="52">
        <v>9</v>
      </c>
      <c r="I28" s="52">
        <v>20</v>
      </c>
      <c r="J28" s="52">
        <v>15</v>
      </c>
      <c r="K28" s="52">
        <v>4</v>
      </c>
      <c r="L28" s="121">
        <v>6</v>
      </c>
      <c r="M28" s="53">
        <f t="shared" si="21"/>
        <v>478</v>
      </c>
      <c r="N28" s="759">
        <f>SUM(G28:L28)</f>
        <v>60</v>
      </c>
      <c r="O28" s="123" t="str">
        <f t="shared" si="23"/>
        <v>NO</v>
      </c>
      <c r="P28" s="124"/>
      <c r="Q28" s="120"/>
      <c r="R28" s="12"/>
      <c r="S28" s="12"/>
      <c r="T28" s="12"/>
      <c r="U28" s="12"/>
      <c r="V28" s="12"/>
      <c r="W28" s="12"/>
    </row>
    <row r="29" spans="1:23" ht="15.75">
      <c r="A29" s="29" t="s">
        <v>51</v>
      </c>
      <c r="B29" s="48">
        <v>1268</v>
      </c>
      <c r="C29" s="73" t="s">
        <v>202</v>
      </c>
      <c r="D29" s="49" t="s">
        <v>9</v>
      </c>
      <c r="E29" s="50" t="s">
        <v>6</v>
      </c>
      <c r="F29" s="51"/>
      <c r="G29" s="52">
        <v>7</v>
      </c>
      <c r="H29" s="52">
        <v>8</v>
      </c>
      <c r="I29" s="52">
        <v>26</v>
      </c>
      <c r="J29" s="52">
        <v>10</v>
      </c>
      <c r="K29" s="52">
        <v>2</v>
      </c>
      <c r="L29" s="121">
        <v>7</v>
      </c>
      <c r="M29" s="53">
        <f t="shared" si="21"/>
        <v>478</v>
      </c>
      <c r="N29" s="759">
        <f>SUM(G29:L29)</f>
        <v>60</v>
      </c>
      <c r="O29" s="123" t="str">
        <f t="shared" si="23"/>
        <v>NO</v>
      </c>
      <c r="P29" s="124"/>
      <c r="Q29" s="120"/>
      <c r="R29" s="12"/>
      <c r="S29" s="12"/>
      <c r="T29" s="12"/>
      <c r="U29" s="12"/>
      <c r="V29" s="12"/>
      <c r="W29" s="12"/>
    </row>
    <row r="30" spans="1:23" ht="15.75">
      <c r="A30" s="29" t="s">
        <v>51</v>
      </c>
      <c r="B30" s="48">
        <v>1314</v>
      </c>
      <c r="C30" s="73" t="s">
        <v>37</v>
      </c>
      <c r="D30" s="49" t="s">
        <v>12</v>
      </c>
      <c r="E30" s="50" t="s">
        <v>6</v>
      </c>
      <c r="F30" s="51">
        <v>2</v>
      </c>
      <c r="G30" s="52">
        <v>10</v>
      </c>
      <c r="H30" s="52">
        <v>11</v>
      </c>
      <c r="I30" s="52">
        <v>16</v>
      </c>
      <c r="J30" s="52">
        <v>10</v>
      </c>
      <c r="K30" s="52">
        <v>1</v>
      </c>
      <c r="L30" s="917">
        <v>12</v>
      </c>
      <c r="M30" s="53">
        <f t="shared" si="21"/>
        <v>441</v>
      </c>
      <c r="N30" s="759">
        <f t="shared" si="14"/>
        <v>60</v>
      </c>
      <c r="O30" s="123" t="str">
        <f t="shared" si="23"/>
        <v>NO</v>
      </c>
      <c r="P30" s="124" t="str">
        <f>IF(O30="yes","M","")</f>
        <v/>
      </c>
      <c r="Q30" s="120" t="str">
        <f t="shared" si="17"/>
        <v xml:space="preserve"> </v>
      </c>
      <c r="R30" s="12"/>
      <c r="S30" s="12"/>
      <c r="T30" s="12"/>
      <c r="U30" s="12"/>
      <c r="V30" s="12"/>
      <c r="W30" s="12"/>
    </row>
    <row r="31" spans="1:23" ht="16.5" thickBot="1">
      <c r="A31" s="29" t="s">
        <v>209</v>
      </c>
      <c r="B31" s="57">
        <v>2144</v>
      </c>
      <c r="C31" s="111" t="s">
        <v>263</v>
      </c>
      <c r="D31" s="58" t="s">
        <v>14</v>
      </c>
      <c r="E31" s="59" t="s">
        <v>6</v>
      </c>
      <c r="F31" s="60" t="e">
        <f>VLOOKUP(E31,$X$7:$X$7,2,FALSE)</f>
        <v>#N/A</v>
      </c>
      <c r="G31" s="61">
        <v>5</v>
      </c>
      <c r="H31" s="61">
        <v>6</v>
      </c>
      <c r="I31" s="61">
        <v>17</v>
      </c>
      <c r="J31" s="61">
        <v>7</v>
      </c>
      <c r="K31" s="61">
        <v>10</v>
      </c>
      <c r="L31" s="126">
        <v>15</v>
      </c>
      <c r="M31" s="62">
        <f t="shared" si="21"/>
        <v>389</v>
      </c>
      <c r="N31" s="943">
        <f t="shared" ref="N31" si="24">SUM(G31:L31)</f>
        <v>60</v>
      </c>
      <c r="O31" s="123" t="str">
        <f t="shared" ref="O31" si="25">IF(M31&gt;574,"Yes","NO")</f>
        <v>NO</v>
      </c>
      <c r="P31" s="124"/>
      <c r="Q31" s="120"/>
      <c r="R31" s="12"/>
      <c r="S31" s="12"/>
      <c r="T31" s="12"/>
      <c r="U31" s="12"/>
      <c r="V31" s="12"/>
      <c r="W31" s="12"/>
    </row>
    <row r="32" spans="1:23" ht="15.75">
      <c r="A32" s="29" t="s">
        <v>51</v>
      </c>
      <c r="B32" s="39">
        <v>1982</v>
      </c>
      <c r="C32" s="40" t="s">
        <v>77</v>
      </c>
      <c r="D32" s="41" t="s">
        <v>14</v>
      </c>
      <c r="E32" s="42" t="s">
        <v>5</v>
      </c>
      <c r="F32" s="43"/>
      <c r="G32" s="44">
        <v>8</v>
      </c>
      <c r="H32" s="44">
        <v>14</v>
      </c>
      <c r="I32" s="44">
        <v>20</v>
      </c>
      <c r="J32" s="44">
        <v>9</v>
      </c>
      <c r="K32" s="44">
        <v>7</v>
      </c>
      <c r="L32" s="131">
        <v>2</v>
      </c>
      <c r="M32" s="35">
        <f t="shared" si="21"/>
        <v>521</v>
      </c>
      <c r="N32" s="1317">
        <f t="shared" ref="N32:N33" si="26">SUM(G32:L32)</f>
        <v>60</v>
      </c>
      <c r="O32" s="123" t="str">
        <f t="shared" si="20"/>
        <v>NO</v>
      </c>
      <c r="P32" s="124" t="str">
        <f t="shared" ref="P32" si="27">IF(O32="yes","M","")</f>
        <v/>
      </c>
      <c r="Q32" s="120"/>
      <c r="R32" s="12"/>
      <c r="S32" s="12"/>
      <c r="T32" s="12"/>
      <c r="U32" s="12"/>
      <c r="V32" s="12"/>
      <c r="W32" s="12"/>
    </row>
    <row r="33" spans="1:23" ht="15.75">
      <c r="A33" s="29" t="s">
        <v>51</v>
      </c>
      <c r="B33" s="39">
        <v>1952</v>
      </c>
      <c r="C33" s="40" t="s">
        <v>216</v>
      </c>
      <c r="D33" s="41" t="s">
        <v>7</v>
      </c>
      <c r="E33" s="42" t="s">
        <v>5</v>
      </c>
      <c r="F33" s="43" t="e">
        <f>VLOOKUP(E33,$X$7:$X$7,2,FALSE)</f>
        <v>#N/A</v>
      </c>
      <c r="G33" s="52">
        <v>3</v>
      </c>
      <c r="H33" s="52">
        <v>11</v>
      </c>
      <c r="I33" s="52">
        <v>18</v>
      </c>
      <c r="J33" s="52">
        <v>10</v>
      </c>
      <c r="K33" s="52">
        <v>9</v>
      </c>
      <c r="L33" s="1316">
        <v>9</v>
      </c>
      <c r="M33" s="53">
        <f t="shared" si="21"/>
        <v>445</v>
      </c>
      <c r="N33" s="759">
        <f t="shared" si="26"/>
        <v>60</v>
      </c>
      <c r="O33" s="123" t="str">
        <f>IF(M33&gt;574,"Yes","NO")</f>
        <v>NO</v>
      </c>
      <c r="P33" s="124"/>
      <c r="Q33" s="120"/>
      <c r="R33" s="12"/>
      <c r="S33" s="12"/>
      <c r="T33" s="12"/>
      <c r="U33" s="12"/>
      <c r="V33" s="12"/>
      <c r="W33" s="12"/>
    </row>
    <row r="34" spans="1:23" ht="15.75">
      <c r="A34" s="29" t="s">
        <v>51</v>
      </c>
      <c r="B34" s="39">
        <v>1615</v>
      </c>
      <c r="C34" s="40" t="s">
        <v>207</v>
      </c>
      <c r="D34" s="41" t="s">
        <v>14</v>
      </c>
      <c r="E34" s="42" t="s">
        <v>5</v>
      </c>
      <c r="F34" s="43" t="e">
        <f>VLOOKUP(E34,$X$7:$X$7,2,FALSE)</f>
        <v>#N/A</v>
      </c>
      <c r="G34" s="44">
        <v>5</v>
      </c>
      <c r="H34" s="44">
        <v>6</v>
      </c>
      <c r="I34" s="44">
        <v>20</v>
      </c>
      <c r="J34" s="44">
        <v>16</v>
      </c>
      <c r="K34" s="44">
        <v>3</v>
      </c>
      <c r="L34" s="131">
        <v>10</v>
      </c>
      <c r="M34" s="53">
        <f t="shared" si="21"/>
        <v>439</v>
      </c>
      <c r="N34" s="759">
        <f t="shared" ref="N34:N36" si="28">SUM(G34:L34)</f>
        <v>60</v>
      </c>
      <c r="O34" s="123" t="str">
        <f>IF(M34&gt;574,"Yes","NO")</f>
        <v>NO</v>
      </c>
      <c r="P34" s="124"/>
      <c r="Q34" s="120"/>
      <c r="R34" s="12"/>
      <c r="S34" s="12"/>
      <c r="T34" s="12"/>
      <c r="U34" s="12"/>
      <c r="V34" s="12"/>
      <c r="W34" s="12"/>
    </row>
    <row r="35" spans="1:23" ht="15.75">
      <c r="A35" s="29" t="s">
        <v>51</v>
      </c>
      <c r="B35" s="39">
        <v>1850</v>
      </c>
      <c r="C35" s="40" t="s">
        <v>200</v>
      </c>
      <c r="D35" s="41" t="s">
        <v>9</v>
      </c>
      <c r="E35" s="42" t="s">
        <v>5</v>
      </c>
      <c r="F35" s="43" t="e">
        <f>VLOOKUP(E35,$X$7:$X$7,2,FALSE)</f>
        <v>#N/A</v>
      </c>
      <c r="G35" s="44">
        <v>4</v>
      </c>
      <c r="H35" s="44">
        <v>5</v>
      </c>
      <c r="I35" s="44">
        <v>20</v>
      </c>
      <c r="J35" s="44">
        <v>13</v>
      </c>
      <c r="K35" s="44">
        <v>9</v>
      </c>
      <c r="L35" s="131">
        <v>9</v>
      </c>
      <c r="M35" s="53">
        <f t="shared" si="21"/>
        <v>437</v>
      </c>
      <c r="N35" s="759">
        <f t="shared" si="28"/>
        <v>60</v>
      </c>
      <c r="O35" s="123" t="str">
        <f>IF(M35&gt;574,"Yes","NO")</f>
        <v>NO</v>
      </c>
      <c r="P35" s="124"/>
      <c r="Q35" s="120"/>
      <c r="R35" s="12"/>
      <c r="S35" s="12"/>
      <c r="T35" s="12"/>
      <c r="U35" s="12"/>
      <c r="V35" s="12"/>
      <c r="W35" s="12"/>
    </row>
    <row r="36" spans="1:23" ht="16.5" thickBot="1">
      <c r="A36" s="29" t="s">
        <v>51</v>
      </c>
      <c r="B36" s="48">
        <v>1837</v>
      </c>
      <c r="C36" s="73" t="s">
        <v>244</v>
      </c>
      <c r="D36" s="49" t="s">
        <v>9</v>
      </c>
      <c r="E36" s="50" t="s">
        <v>5</v>
      </c>
      <c r="F36" s="51" t="e">
        <f>VLOOKUP(E36,#REF!,2,FALSE)</f>
        <v>#REF!</v>
      </c>
      <c r="G36" s="52">
        <v>0</v>
      </c>
      <c r="H36" s="52">
        <v>5</v>
      </c>
      <c r="I36" s="52">
        <v>19</v>
      </c>
      <c r="J36" s="52">
        <v>15</v>
      </c>
      <c r="K36" s="52">
        <v>9</v>
      </c>
      <c r="L36" s="121">
        <v>12</v>
      </c>
      <c r="M36" s="62">
        <f t="shared" si="21"/>
        <v>404</v>
      </c>
      <c r="N36" s="759">
        <f t="shared" si="28"/>
        <v>60</v>
      </c>
      <c r="O36" s="123" t="str">
        <f>IF(M36&gt;574,"Yes","NO")</f>
        <v>NO</v>
      </c>
      <c r="P36" s="124"/>
      <c r="Q36" s="120"/>
      <c r="R36" s="12"/>
      <c r="S36" s="12"/>
      <c r="T36" s="12"/>
      <c r="U36" s="12"/>
      <c r="V36" s="12"/>
      <c r="W36" s="12"/>
    </row>
    <row r="37" spans="1:23" ht="19.5" thickBot="1">
      <c r="A37" s="3"/>
      <c r="B37" s="139">
        <f>COUNT(B22:B36)</f>
        <v>15</v>
      </c>
      <c r="C37" s="1425" t="s">
        <v>32</v>
      </c>
      <c r="D37" s="1426"/>
      <c r="E37" s="1425" t="s">
        <v>49</v>
      </c>
      <c r="F37" s="1427"/>
      <c r="G37" s="1427"/>
      <c r="H37" s="1427"/>
      <c r="I37" s="1427"/>
      <c r="J37" s="1427"/>
      <c r="K37" s="1427"/>
      <c r="L37" s="1427"/>
      <c r="M37" s="1428"/>
      <c r="N37" s="1427"/>
      <c r="O37" s="1427"/>
      <c r="P37" s="1426"/>
      <c r="Q37" s="12"/>
      <c r="R37" s="12"/>
      <c r="S37" s="12"/>
      <c r="T37" s="12"/>
      <c r="U37" s="12"/>
      <c r="V37" s="12"/>
      <c r="W37" s="12"/>
    </row>
    <row r="38" spans="1:23" ht="15.75">
      <c r="A38" s="3"/>
      <c r="B38" s="14"/>
      <c r="C38" s="5"/>
      <c r="D38" s="15"/>
      <c r="E38" s="6"/>
      <c r="F38" s="16"/>
      <c r="G38" s="12"/>
      <c r="H38" s="12"/>
      <c r="I38" s="12"/>
      <c r="J38" s="12"/>
      <c r="K38" s="12"/>
      <c r="L38" s="12"/>
      <c r="M38" s="17"/>
      <c r="N38" s="12"/>
      <c r="O38" s="12"/>
      <c r="P38" s="12"/>
      <c r="Q38" s="12"/>
      <c r="R38" s="12"/>
      <c r="S38" s="12"/>
      <c r="T38" s="12"/>
      <c r="U38" s="12"/>
      <c r="V38" s="12"/>
      <c r="W38" s="12"/>
    </row>
  </sheetData>
  <sortState ref="B32:M36">
    <sortCondition descending="1" ref="M32:M36"/>
  </sortState>
  <mergeCells count="8">
    <mergeCell ref="C37:D37"/>
    <mergeCell ref="E37:P37"/>
    <mergeCell ref="B5:Q5"/>
    <mergeCell ref="B18:Q18"/>
    <mergeCell ref="A2:S2"/>
    <mergeCell ref="B4:S4"/>
    <mergeCell ref="C15:D15"/>
    <mergeCell ref="E15:P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1"/>
  <sheetViews>
    <sheetView topLeftCell="A25" workbookViewId="0">
      <selection activeCell="N30" sqref="N30"/>
    </sheetView>
  </sheetViews>
  <sheetFormatPr defaultRowHeight="15"/>
  <cols>
    <col min="1" max="1" width="5.28515625" customWidth="1"/>
    <col min="3" max="3" width="26" customWidth="1"/>
    <col min="6" max="6" width="0" hidden="1" customWidth="1"/>
    <col min="7" max="8" width="7.140625" customWidth="1"/>
    <col min="9" max="9" width="7.42578125" customWidth="1"/>
    <col min="10" max="10" width="7.5703125" customWidth="1"/>
    <col min="11" max="12" width="7.85546875" customWidth="1"/>
    <col min="13" max="13" width="7.140625" customWidth="1"/>
    <col min="19" max="19" width="0.5703125" customWidth="1"/>
  </cols>
  <sheetData>
    <row r="1" spans="1:19" ht="15.75" thickBot="1"/>
    <row r="2" spans="1:19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</row>
    <row r="3" spans="1:19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</row>
    <row r="4" spans="1:19" ht="24" thickBot="1">
      <c r="A4" s="13"/>
      <c r="B4" s="1422" t="s">
        <v>184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4"/>
    </row>
    <row r="5" spans="1:19" ht="16.5" thickBot="1">
      <c r="A5" s="3"/>
      <c r="B5" s="14"/>
      <c r="C5" s="5"/>
      <c r="D5" s="15"/>
      <c r="E5" s="6"/>
      <c r="F5" s="16"/>
      <c r="G5" s="12"/>
      <c r="H5" s="12"/>
      <c r="I5" s="12"/>
      <c r="J5" s="12"/>
      <c r="K5" s="12"/>
      <c r="L5" s="12"/>
      <c r="M5" s="17"/>
      <c r="N5" s="12"/>
      <c r="O5" s="12"/>
      <c r="P5" s="12"/>
      <c r="Q5" s="12"/>
      <c r="R5" s="12"/>
      <c r="S5" s="12"/>
    </row>
    <row r="6" spans="1:19" ht="27.75" customHeight="1" thickBot="1">
      <c r="A6" s="3"/>
      <c r="B6" s="1415" t="s">
        <v>57</v>
      </c>
      <c r="C6" s="1416"/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6"/>
      <c r="O6" s="1416"/>
      <c r="P6" s="1416"/>
      <c r="Q6" s="1416"/>
      <c r="R6" s="1417"/>
      <c r="S6" s="12"/>
    </row>
    <row r="7" spans="1:19" ht="32.25" thickBot="1">
      <c r="A7" s="3"/>
      <c r="B7" s="790" t="s">
        <v>185</v>
      </c>
      <c r="C7" s="70" t="s">
        <v>19</v>
      </c>
      <c r="D7" s="791" t="s">
        <v>20</v>
      </c>
      <c r="E7" s="944" t="s">
        <v>21</v>
      </c>
      <c r="F7" s="176"/>
      <c r="G7" s="635" t="s">
        <v>22</v>
      </c>
      <c r="H7" s="627">
        <v>10</v>
      </c>
      <c r="I7" s="627">
        <v>9</v>
      </c>
      <c r="J7" s="627">
        <v>8</v>
      </c>
      <c r="K7" s="715">
        <v>7</v>
      </c>
      <c r="L7" s="715">
        <v>6</v>
      </c>
      <c r="M7" s="793">
        <v>0</v>
      </c>
      <c r="N7" s="897" t="s">
        <v>23</v>
      </c>
      <c r="O7" s="103" t="s">
        <v>39</v>
      </c>
      <c r="P7" s="145" t="s">
        <v>25</v>
      </c>
      <c r="Q7" s="146" t="s">
        <v>26</v>
      </c>
      <c r="R7" s="85" t="s">
        <v>27</v>
      </c>
      <c r="S7" s="12"/>
    </row>
    <row r="8" spans="1:19" ht="15.75">
      <c r="A8" s="29" t="s">
        <v>0</v>
      </c>
      <c r="B8" s="30">
        <v>169</v>
      </c>
      <c r="C8" s="64" t="s">
        <v>206</v>
      </c>
      <c r="D8" s="31" t="s">
        <v>7</v>
      </c>
      <c r="E8" s="32" t="s">
        <v>15</v>
      </c>
      <c r="F8" s="33"/>
      <c r="G8" s="34">
        <v>24</v>
      </c>
      <c r="H8" s="34">
        <v>11</v>
      </c>
      <c r="I8" s="34">
        <v>12</v>
      </c>
      <c r="J8" s="34">
        <v>1</v>
      </c>
      <c r="K8" s="34"/>
      <c r="L8" s="34"/>
      <c r="M8" s="117"/>
      <c r="N8" s="38">
        <f t="shared" ref="N8:N10" si="0">(G8*10)+(H8*10)+(I8*9)+(J8*8)+(K8*7)+(L8*6)</f>
        <v>466</v>
      </c>
      <c r="O8" s="118">
        <f>SUM(G8:M8)</f>
        <v>48</v>
      </c>
      <c r="P8" s="700"/>
      <c r="Q8" s="90"/>
      <c r="R8" s="860"/>
      <c r="S8" s="12"/>
    </row>
    <row r="9" spans="1:19" ht="15.75">
      <c r="A9" s="29" t="s">
        <v>0</v>
      </c>
      <c r="B9" s="48">
        <v>2434</v>
      </c>
      <c r="C9" s="73" t="s">
        <v>53</v>
      </c>
      <c r="D9" s="49" t="s">
        <v>9</v>
      </c>
      <c r="E9" s="50" t="s">
        <v>15</v>
      </c>
      <c r="F9" s="51" t="e">
        <f>VLOOKUP(E9,$Y$8:$Z$9,2,FALSE)</f>
        <v>#N/A</v>
      </c>
      <c r="G9" s="52">
        <v>22</v>
      </c>
      <c r="H9" s="52">
        <v>10</v>
      </c>
      <c r="I9" s="52">
        <v>13</v>
      </c>
      <c r="J9" s="52">
        <v>2</v>
      </c>
      <c r="K9" s="52">
        <v>1</v>
      </c>
      <c r="L9" s="52"/>
      <c r="M9" s="121"/>
      <c r="N9" s="55">
        <f t="shared" si="0"/>
        <v>460</v>
      </c>
      <c r="O9" s="122">
        <f>SUM(G9:M9)</f>
        <v>48</v>
      </c>
      <c r="P9" s="362"/>
      <c r="Q9" s="367"/>
      <c r="R9" s="63"/>
      <c r="S9" s="12"/>
    </row>
    <row r="10" spans="1:19" ht="16.5" thickBot="1">
      <c r="A10" s="29" t="s">
        <v>0</v>
      </c>
      <c r="B10" s="57">
        <v>641</v>
      </c>
      <c r="C10" s="111" t="s">
        <v>55</v>
      </c>
      <c r="D10" s="58" t="s">
        <v>14</v>
      </c>
      <c r="E10" s="59" t="s">
        <v>15</v>
      </c>
      <c r="F10" s="60" t="e">
        <f>VLOOKUP(E10,$Y$8:$Z$9,2,FALSE)</f>
        <v>#N/A</v>
      </c>
      <c r="G10" s="61">
        <v>16</v>
      </c>
      <c r="H10" s="61">
        <v>14</v>
      </c>
      <c r="I10" s="61">
        <v>14</v>
      </c>
      <c r="J10" s="61">
        <v>4</v>
      </c>
      <c r="K10" s="61"/>
      <c r="L10" s="61"/>
      <c r="M10" s="766"/>
      <c r="N10" s="78">
        <f t="shared" si="0"/>
        <v>458</v>
      </c>
      <c r="O10" s="127">
        <f t="shared" ref="O10:O25" si="1">SUM(G10:M10)</f>
        <v>48</v>
      </c>
      <c r="P10" s="362"/>
      <c r="Q10" s="367"/>
      <c r="R10" s="63"/>
      <c r="S10" s="12"/>
    </row>
    <row r="11" spans="1:19" ht="15.75">
      <c r="A11" s="29" t="s">
        <v>0</v>
      </c>
      <c r="B11" s="39">
        <v>1786</v>
      </c>
      <c r="C11" s="40" t="s">
        <v>208</v>
      </c>
      <c r="D11" s="41" t="s">
        <v>14</v>
      </c>
      <c r="E11" s="42" t="s">
        <v>3</v>
      </c>
      <c r="F11" s="43"/>
      <c r="G11" s="44">
        <v>20</v>
      </c>
      <c r="H11" s="44">
        <v>12</v>
      </c>
      <c r="I11" s="44">
        <v>13</v>
      </c>
      <c r="J11" s="44">
        <v>2</v>
      </c>
      <c r="K11" s="44">
        <v>1</v>
      </c>
      <c r="L11" s="44"/>
      <c r="M11" s="131"/>
      <c r="N11" s="941">
        <f t="shared" ref="N11:N23" si="2">(G11*10)+(H11*10)+(I11*9)+(J11*8)+(K11*7)+(L11*6)</f>
        <v>460</v>
      </c>
      <c r="O11" s="942">
        <f t="shared" ref="O11:O12" si="3">SUM(G11:M11)</f>
        <v>48</v>
      </c>
      <c r="P11" s="1186"/>
      <c r="Q11" s="1187"/>
      <c r="R11" s="63"/>
      <c r="S11" s="12"/>
    </row>
    <row r="12" spans="1:19" ht="16.5" thickBot="1">
      <c r="A12" s="29" t="s">
        <v>0</v>
      </c>
      <c r="B12" s="48">
        <v>1477</v>
      </c>
      <c r="C12" s="73" t="s">
        <v>268</v>
      </c>
      <c r="D12" s="49" t="s">
        <v>14</v>
      </c>
      <c r="E12" s="50" t="s">
        <v>3</v>
      </c>
      <c r="F12" s="51"/>
      <c r="G12" s="52">
        <v>22</v>
      </c>
      <c r="H12" s="52">
        <v>10</v>
      </c>
      <c r="I12" s="52">
        <v>10</v>
      </c>
      <c r="J12" s="52">
        <v>5</v>
      </c>
      <c r="K12" s="52">
        <v>1</v>
      </c>
      <c r="L12" s="52"/>
      <c r="M12" s="121"/>
      <c r="N12" s="55">
        <f t="shared" si="2"/>
        <v>457</v>
      </c>
      <c r="O12" s="122">
        <f t="shared" si="3"/>
        <v>48</v>
      </c>
      <c r="P12" s="1186"/>
      <c r="Q12" s="1187"/>
      <c r="R12" s="63"/>
      <c r="S12" s="12"/>
    </row>
    <row r="13" spans="1:19" ht="16.5" thickBot="1">
      <c r="A13" s="29" t="s">
        <v>0</v>
      </c>
      <c r="B13" s="39">
        <v>1798</v>
      </c>
      <c r="C13" s="40" t="s">
        <v>58</v>
      </c>
      <c r="D13" s="41" t="s">
        <v>7</v>
      </c>
      <c r="E13" s="42" t="s">
        <v>3</v>
      </c>
      <c r="F13" s="43" t="e">
        <f>VLOOKUP(E13,$Y$8:$Z$9,2,FALSE)</f>
        <v>#N/A</v>
      </c>
      <c r="G13" s="44">
        <v>18</v>
      </c>
      <c r="H13" s="44">
        <v>10</v>
      </c>
      <c r="I13" s="44">
        <v>13</v>
      </c>
      <c r="J13" s="44">
        <v>5</v>
      </c>
      <c r="K13" s="44">
        <v>2</v>
      </c>
      <c r="L13" s="44"/>
      <c r="M13" s="1274"/>
      <c r="N13" s="864">
        <f t="shared" si="2"/>
        <v>451</v>
      </c>
      <c r="O13" s="865">
        <f t="shared" si="1"/>
        <v>48</v>
      </c>
      <c r="P13" s="99"/>
      <c r="Q13" s="848"/>
      <c r="R13" s="63" t="str">
        <f t="shared" ref="R13:R25" si="4">IF(N13=0," ",IF(O13&lt;&gt;48,"ERROR!"," "))</f>
        <v xml:space="preserve"> </v>
      </c>
      <c r="S13" s="12"/>
    </row>
    <row r="14" spans="1:19" ht="15.75">
      <c r="A14" s="29" t="s">
        <v>0</v>
      </c>
      <c r="B14" s="30">
        <v>2157</v>
      </c>
      <c r="C14" s="64" t="s">
        <v>238</v>
      </c>
      <c r="D14" s="31" t="s">
        <v>11</v>
      </c>
      <c r="E14" s="32" t="s">
        <v>4</v>
      </c>
      <c r="F14" s="33"/>
      <c r="G14" s="902">
        <v>10</v>
      </c>
      <c r="H14" s="902">
        <v>16</v>
      </c>
      <c r="I14" s="902">
        <v>16</v>
      </c>
      <c r="J14" s="902">
        <v>5</v>
      </c>
      <c r="K14" s="902">
        <v>1</v>
      </c>
      <c r="L14" s="902">
        <v>0</v>
      </c>
      <c r="M14" s="945"/>
      <c r="N14" s="38">
        <f t="shared" si="2"/>
        <v>451</v>
      </c>
      <c r="O14" s="118">
        <f t="shared" si="1"/>
        <v>48</v>
      </c>
      <c r="P14" s="769" t="str">
        <f>IF(N14&gt;471,"Yes","NO")</f>
        <v>NO</v>
      </c>
      <c r="Q14" s="35"/>
      <c r="R14" s="1380" t="str">
        <f>IF(N14=0," ",IF(O14&lt;&gt;48,"ERROR!"," "))</f>
        <v xml:space="preserve"> </v>
      </c>
      <c r="S14" s="12"/>
    </row>
    <row r="15" spans="1:19" ht="15.75">
      <c r="A15" s="29" t="s">
        <v>0</v>
      </c>
      <c r="B15" s="48">
        <v>1264</v>
      </c>
      <c r="C15" s="73" t="s">
        <v>178</v>
      </c>
      <c r="D15" s="49" t="s">
        <v>7</v>
      </c>
      <c r="E15" s="50" t="s">
        <v>4</v>
      </c>
      <c r="F15" s="51" t="e">
        <f>VLOOKUP(E15,$Y$8:$Z$9,2,FALSE)</f>
        <v>#N/A</v>
      </c>
      <c r="G15" s="52">
        <v>16</v>
      </c>
      <c r="H15" s="52">
        <v>9</v>
      </c>
      <c r="I15" s="52">
        <v>14</v>
      </c>
      <c r="J15" s="52">
        <v>7</v>
      </c>
      <c r="K15" s="52">
        <v>2</v>
      </c>
      <c r="L15" s="52"/>
      <c r="M15" s="148"/>
      <c r="N15" s="55">
        <f t="shared" si="2"/>
        <v>446</v>
      </c>
      <c r="O15" s="122">
        <f t="shared" si="1"/>
        <v>48</v>
      </c>
      <c r="P15" s="770" t="str">
        <f t="shared" ref="P15:P16" si="5">IF(N15&gt;471,"Yes","NO")</f>
        <v>NO</v>
      </c>
      <c r="Q15" s="53"/>
      <c r="R15" s="88" t="str">
        <f t="shared" si="4"/>
        <v xml:space="preserve"> </v>
      </c>
      <c r="S15" s="12"/>
    </row>
    <row r="16" spans="1:19" ht="15.75">
      <c r="A16" s="29" t="s">
        <v>0</v>
      </c>
      <c r="B16" s="48">
        <v>2138</v>
      </c>
      <c r="C16" s="73" t="s">
        <v>214</v>
      </c>
      <c r="D16" s="49" t="s">
        <v>9</v>
      </c>
      <c r="E16" s="50" t="s">
        <v>4</v>
      </c>
      <c r="F16" s="51"/>
      <c r="G16" s="52">
        <v>13</v>
      </c>
      <c r="H16" s="52">
        <v>9</v>
      </c>
      <c r="I16" s="52">
        <v>12</v>
      </c>
      <c r="J16" s="52">
        <v>9</v>
      </c>
      <c r="K16" s="52">
        <v>5</v>
      </c>
      <c r="L16" s="52"/>
      <c r="M16" s="946"/>
      <c r="N16" s="55">
        <f t="shared" si="2"/>
        <v>435</v>
      </c>
      <c r="O16" s="122">
        <f t="shared" si="1"/>
        <v>48</v>
      </c>
      <c r="P16" s="770" t="str">
        <f t="shared" si="5"/>
        <v>NO</v>
      </c>
      <c r="Q16" s="53"/>
      <c r="R16" s="88" t="str">
        <f t="shared" si="4"/>
        <v xml:space="preserve"> </v>
      </c>
      <c r="S16" s="12"/>
    </row>
    <row r="17" spans="1:19" ht="15.75">
      <c r="A17" s="29" t="s">
        <v>0</v>
      </c>
      <c r="B17" s="48">
        <v>638</v>
      </c>
      <c r="C17" s="73" t="s">
        <v>270</v>
      </c>
      <c r="D17" s="49" t="s">
        <v>14</v>
      </c>
      <c r="E17" s="50" t="s">
        <v>4</v>
      </c>
      <c r="F17" s="51"/>
      <c r="G17" s="52">
        <v>12</v>
      </c>
      <c r="H17" s="52">
        <v>12</v>
      </c>
      <c r="I17" s="52">
        <v>19</v>
      </c>
      <c r="J17" s="52">
        <v>2</v>
      </c>
      <c r="K17" s="52">
        <v>1</v>
      </c>
      <c r="L17" s="52">
        <v>0</v>
      </c>
      <c r="M17" s="917">
        <v>2</v>
      </c>
      <c r="N17" s="55">
        <f t="shared" si="2"/>
        <v>434</v>
      </c>
      <c r="O17" s="122">
        <f t="shared" ref="O17" si="6">SUM(G17:M17)</f>
        <v>48</v>
      </c>
      <c r="P17" s="863" t="str">
        <f>IF(N17&gt;460,"Yes","NO")</f>
        <v>NO</v>
      </c>
      <c r="Q17" s="153"/>
      <c r="R17" s="88"/>
      <c r="S17" s="12"/>
    </row>
    <row r="18" spans="1:19" ht="15.75">
      <c r="A18" s="29" t="s">
        <v>0</v>
      </c>
      <c r="B18" s="104">
        <v>1619</v>
      </c>
      <c r="C18" s="130" t="s">
        <v>73</v>
      </c>
      <c r="D18" s="105" t="s">
        <v>7</v>
      </c>
      <c r="E18" s="106" t="s">
        <v>4</v>
      </c>
      <c r="F18" s="107" t="e">
        <f>VLOOKUP(E18,$Y$8:$Z$9,2,FALSE)</f>
        <v>#N/A</v>
      </c>
      <c r="G18" s="108">
        <v>14</v>
      </c>
      <c r="H18" s="108">
        <v>10</v>
      </c>
      <c r="I18" s="108">
        <v>16</v>
      </c>
      <c r="J18" s="108">
        <v>4</v>
      </c>
      <c r="K18" s="108">
        <v>2</v>
      </c>
      <c r="L18" s="108"/>
      <c r="M18" s="918">
        <v>2</v>
      </c>
      <c r="N18" s="55">
        <f t="shared" si="2"/>
        <v>430</v>
      </c>
      <c r="O18" s="122">
        <f t="shared" si="1"/>
        <v>48</v>
      </c>
      <c r="P18" s="770" t="str">
        <f>IF(N18&gt;471,"Yes","NO")</f>
        <v>NO</v>
      </c>
      <c r="Q18" s="53" t="str">
        <f>IF(P18="yes","HM","")</f>
        <v/>
      </c>
      <c r="R18" s="88" t="str">
        <f t="shared" si="4"/>
        <v xml:space="preserve"> </v>
      </c>
      <c r="S18" s="12"/>
    </row>
    <row r="19" spans="1:19" ht="15.75">
      <c r="A19" s="29" t="s">
        <v>0</v>
      </c>
      <c r="B19" s="104">
        <v>1314</v>
      </c>
      <c r="C19" s="130" t="s">
        <v>37</v>
      </c>
      <c r="D19" s="105" t="s">
        <v>12</v>
      </c>
      <c r="E19" s="106" t="s">
        <v>4</v>
      </c>
      <c r="F19" s="107">
        <v>3</v>
      </c>
      <c r="G19" s="108">
        <v>17</v>
      </c>
      <c r="H19" s="108">
        <v>10</v>
      </c>
      <c r="I19" s="108">
        <v>12</v>
      </c>
      <c r="J19" s="108">
        <v>5</v>
      </c>
      <c r="K19" s="108">
        <v>1</v>
      </c>
      <c r="L19" s="108"/>
      <c r="M19" s="919">
        <v>3</v>
      </c>
      <c r="N19" s="55">
        <f t="shared" si="2"/>
        <v>425</v>
      </c>
      <c r="O19" s="122">
        <f t="shared" ref="O19:O20" si="7">SUM(G19:M19)</f>
        <v>48</v>
      </c>
      <c r="P19" s="770" t="str">
        <f>IF(N19&gt;471,"Yes","NO")</f>
        <v>NO</v>
      </c>
      <c r="Q19" s="152"/>
      <c r="R19" s="88"/>
      <c r="S19" s="12"/>
    </row>
    <row r="20" spans="1:19" ht="15.75">
      <c r="A20" s="29" t="s">
        <v>0</v>
      </c>
      <c r="B20" s="104">
        <v>1143</v>
      </c>
      <c r="C20" s="130" t="s">
        <v>59</v>
      </c>
      <c r="D20" s="105" t="s">
        <v>9</v>
      </c>
      <c r="E20" s="106" t="s">
        <v>4</v>
      </c>
      <c r="F20" s="107" t="e">
        <f>VLOOKUP(E20,$Y$8:$Z$9,2,FALSE)</f>
        <v>#N/A</v>
      </c>
      <c r="G20" s="108">
        <v>13</v>
      </c>
      <c r="H20" s="108">
        <v>7</v>
      </c>
      <c r="I20" s="108">
        <v>16</v>
      </c>
      <c r="J20" s="108">
        <v>6</v>
      </c>
      <c r="K20" s="108">
        <v>2</v>
      </c>
      <c r="L20" s="108"/>
      <c r="M20" s="919">
        <v>4</v>
      </c>
      <c r="N20" s="55">
        <f t="shared" si="2"/>
        <v>406</v>
      </c>
      <c r="O20" s="122">
        <f t="shared" si="7"/>
        <v>48</v>
      </c>
      <c r="P20" s="1273" t="str">
        <f>IF(N20&gt;471,"Yes","NO")</f>
        <v>NO</v>
      </c>
      <c r="Q20" s="152"/>
      <c r="R20" s="88"/>
      <c r="S20" s="12"/>
    </row>
    <row r="21" spans="1:19" ht="15.75">
      <c r="A21" s="29" t="s">
        <v>0</v>
      </c>
      <c r="B21" s="48">
        <v>1268</v>
      </c>
      <c r="C21" s="73" t="s">
        <v>202</v>
      </c>
      <c r="D21" s="49" t="s">
        <v>9</v>
      </c>
      <c r="E21" s="50" t="s">
        <v>4</v>
      </c>
      <c r="F21" s="51"/>
      <c r="G21" s="52">
        <v>11</v>
      </c>
      <c r="H21" s="52">
        <v>12</v>
      </c>
      <c r="I21" s="52">
        <v>13</v>
      </c>
      <c r="J21" s="52">
        <v>4</v>
      </c>
      <c r="K21" s="52">
        <v>3</v>
      </c>
      <c r="L21" s="52"/>
      <c r="M21" s="121">
        <v>5</v>
      </c>
      <c r="N21" s="55">
        <f t="shared" si="2"/>
        <v>400</v>
      </c>
      <c r="O21" s="122">
        <f t="shared" si="1"/>
        <v>48</v>
      </c>
      <c r="P21" s="861" t="str">
        <f t="shared" ref="P21:P32" si="8">IF(N21&gt;460,"Yes","NO")</f>
        <v>NO</v>
      </c>
      <c r="Q21" s="152" t="str">
        <f>IF(P21="yes","M","")</f>
        <v/>
      </c>
      <c r="R21" s="88" t="str">
        <f t="shared" si="4"/>
        <v xml:space="preserve"> </v>
      </c>
      <c r="S21" s="12"/>
    </row>
    <row r="22" spans="1:19" ht="15.75">
      <c r="A22" s="29" t="s">
        <v>0</v>
      </c>
      <c r="B22" s="104">
        <v>1569</v>
      </c>
      <c r="C22" s="130" t="s">
        <v>220</v>
      </c>
      <c r="D22" s="105" t="s">
        <v>9</v>
      </c>
      <c r="E22" s="106" t="s">
        <v>4</v>
      </c>
      <c r="F22" s="107"/>
      <c r="G22" s="52">
        <v>15</v>
      </c>
      <c r="H22" s="52">
        <v>10</v>
      </c>
      <c r="I22" s="52">
        <v>9</v>
      </c>
      <c r="J22" s="52">
        <v>3</v>
      </c>
      <c r="K22" s="52">
        <v>1</v>
      </c>
      <c r="L22" s="52"/>
      <c r="M22" s="919">
        <v>10</v>
      </c>
      <c r="N22" s="55">
        <f t="shared" si="2"/>
        <v>362</v>
      </c>
      <c r="O22" s="122">
        <f t="shared" ref="O22" si="9">SUM(G22:M22)</f>
        <v>48</v>
      </c>
      <c r="P22" s="861" t="str">
        <f t="shared" si="8"/>
        <v>NO</v>
      </c>
      <c r="Q22" s="152"/>
      <c r="R22" s="88"/>
      <c r="S22" s="12"/>
    </row>
    <row r="23" spans="1:19" ht="16.5" thickBot="1">
      <c r="A23" s="29" t="s">
        <v>0</v>
      </c>
      <c r="B23" s="57">
        <v>2144</v>
      </c>
      <c r="C23" s="111" t="s">
        <v>43</v>
      </c>
      <c r="D23" s="58" t="s">
        <v>14</v>
      </c>
      <c r="E23" s="59" t="s">
        <v>4</v>
      </c>
      <c r="F23" s="60" t="e">
        <f>VLOOKUP(E23,$Y$8:$Z$9,2,FALSE)</f>
        <v>#N/A</v>
      </c>
      <c r="G23" s="61">
        <v>5</v>
      </c>
      <c r="H23" s="61">
        <v>9</v>
      </c>
      <c r="I23" s="61">
        <v>10</v>
      </c>
      <c r="J23" s="61">
        <v>13</v>
      </c>
      <c r="K23" s="61">
        <v>4</v>
      </c>
      <c r="L23" s="61"/>
      <c r="M23" s="1318">
        <v>7</v>
      </c>
      <c r="N23" s="78">
        <f t="shared" si="2"/>
        <v>362</v>
      </c>
      <c r="O23" s="127">
        <f t="shared" ref="O23" si="10">SUM(G23:M23)</f>
        <v>48</v>
      </c>
      <c r="P23" s="862" t="str">
        <f t="shared" si="8"/>
        <v>NO</v>
      </c>
      <c r="Q23" s="152"/>
      <c r="R23" s="88"/>
      <c r="S23" s="12"/>
    </row>
    <row r="24" spans="1:19" ht="15.75">
      <c r="A24" s="29" t="s">
        <v>0</v>
      </c>
      <c r="B24" s="1108">
        <v>1982</v>
      </c>
      <c r="C24" s="1107" t="s">
        <v>77</v>
      </c>
      <c r="D24" s="31" t="s">
        <v>14</v>
      </c>
      <c r="E24" s="32" t="s">
        <v>6</v>
      </c>
      <c r="F24" s="33"/>
      <c r="G24" s="34">
        <v>16</v>
      </c>
      <c r="H24" s="34">
        <v>12</v>
      </c>
      <c r="I24" s="34">
        <v>15</v>
      </c>
      <c r="J24" s="34">
        <v>4</v>
      </c>
      <c r="K24" s="34">
        <v>1</v>
      </c>
      <c r="L24" s="34"/>
      <c r="M24" s="117"/>
      <c r="N24" s="38">
        <f t="shared" ref="N24:N32" si="11">(G24*10)+(H24*10)+(I24*9)+(J24*8)+(K24*7)+(L24*6)</f>
        <v>454</v>
      </c>
      <c r="O24" s="118">
        <f t="shared" si="1"/>
        <v>48</v>
      </c>
      <c r="P24" s="771" t="str">
        <f t="shared" si="8"/>
        <v>NO</v>
      </c>
      <c r="Q24" s="153" t="str">
        <f t="shared" ref="Q24:Q25" si="12">IF(P24="yes","M","")</f>
        <v/>
      </c>
      <c r="R24" s="88" t="str">
        <f t="shared" si="4"/>
        <v xml:space="preserve"> </v>
      </c>
      <c r="S24" s="12"/>
    </row>
    <row r="25" spans="1:19" ht="15.75">
      <c r="A25" s="29" t="s">
        <v>0</v>
      </c>
      <c r="B25" s="161">
        <v>1956</v>
      </c>
      <c r="C25" s="869" t="s">
        <v>47</v>
      </c>
      <c r="D25" s="49" t="s">
        <v>11</v>
      </c>
      <c r="E25" s="50" t="s">
        <v>6</v>
      </c>
      <c r="F25" s="51">
        <v>1</v>
      </c>
      <c r="G25" s="904">
        <v>14</v>
      </c>
      <c r="H25" s="904">
        <v>7</v>
      </c>
      <c r="I25" s="904">
        <v>15</v>
      </c>
      <c r="J25" s="904">
        <v>6</v>
      </c>
      <c r="K25" s="904">
        <v>3</v>
      </c>
      <c r="L25" s="904">
        <v>3</v>
      </c>
      <c r="M25" s="121"/>
      <c r="N25" s="55">
        <f t="shared" si="11"/>
        <v>432</v>
      </c>
      <c r="O25" s="122">
        <f t="shared" si="1"/>
        <v>48</v>
      </c>
      <c r="P25" s="863" t="str">
        <f t="shared" si="8"/>
        <v>NO</v>
      </c>
      <c r="Q25" s="153" t="str">
        <f t="shared" si="12"/>
        <v/>
      </c>
      <c r="R25" s="88" t="str">
        <f t="shared" si="4"/>
        <v xml:space="preserve"> </v>
      </c>
      <c r="S25" s="12"/>
    </row>
    <row r="26" spans="1:19" ht="15.75">
      <c r="A26" s="29" t="s">
        <v>0</v>
      </c>
      <c r="B26" s="161">
        <v>2337</v>
      </c>
      <c r="C26" s="869" t="s">
        <v>237</v>
      </c>
      <c r="D26" s="49" t="s">
        <v>11</v>
      </c>
      <c r="E26" s="50" t="s">
        <v>6</v>
      </c>
      <c r="F26" s="51"/>
      <c r="G26" s="899">
        <v>8</v>
      </c>
      <c r="H26" s="899">
        <v>6</v>
      </c>
      <c r="I26" s="899">
        <v>19</v>
      </c>
      <c r="J26" s="899">
        <v>5</v>
      </c>
      <c r="K26" s="899">
        <v>6</v>
      </c>
      <c r="L26" s="899">
        <v>4</v>
      </c>
      <c r="M26" s="121"/>
      <c r="N26" s="55">
        <f t="shared" si="11"/>
        <v>417</v>
      </c>
      <c r="O26" s="122">
        <f t="shared" ref="O26" si="13">SUM(G26:M26)</f>
        <v>48</v>
      </c>
      <c r="P26" s="863" t="str">
        <f t="shared" ref="P26" si="14">IF(N26&gt;460,"Yes","NO")</f>
        <v>NO</v>
      </c>
      <c r="Q26" s="153"/>
      <c r="R26" s="88"/>
      <c r="S26" s="12"/>
    </row>
    <row r="27" spans="1:19" ht="16.5" thickBot="1">
      <c r="A27" s="29" t="s">
        <v>0</v>
      </c>
      <c r="B27" s="1109">
        <v>1615</v>
      </c>
      <c r="C27" s="1385" t="s">
        <v>257</v>
      </c>
      <c r="D27" s="58" t="s">
        <v>14</v>
      </c>
      <c r="E27" s="59" t="s">
        <v>6</v>
      </c>
      <c r="F27" s="60">
        <v>1</v>
      </c>
      <c r="G27" s="61">
        <v>7</v>
      </c>
      <c r="H27" s="61">
        <v>11</v>
      </c>
      <c r="I27" s="61">
        <v>17</v>
      </c>
      <c r="J27" s="61">
        <v>2</v>
      </c>
      <c r="K27" s="61">
        <v>6</v>
      </c>
      <c r="L27" s="61"/>
      <c r="M27" s="126">
        <v>5</v>
      </c>
      <c r="N27" s="78">
        <f t="shared" si="11"/>
        <v>391</v>
      </c>
      <c r="O27" s="127">
        <f>SUM(G27:M27)</f>
        <v>48</v>
      </c>
      <c r="P27" s="768" t="str">
        <f>IF(N27&gt;460,"Yes","NO")</f>
        <v>NO</v>
      </c>
      <c r="Q27" s="153"/>
      <c r="R27" s="88"/>
      <c r="S27" s="12"/>
    </row>
    <row r="28" spans="1:19" ht="15.75">
      <c r="A28" s="29" t="s">
        <v>0</v>
      </c>
      <c r="B28" s="1382">
        <v>1952</v>
      </c>
      <c r="C28" s="1383" t="s">
        <v>216</v>
      </c>
      <c r="D28" s="41" t="s">
        <v>7</v>
      </c>
      <c r="E28" s="42" t="s">
        <v>5</v>
      </c>
      <c r="F28" s="43"/>
      <c r="G28" s="1105">
        <v>12</v>
      </c>
      <c r="H28" s="1105">
        <v>13</v>
      </c>
      <c r="I28" s="1105">
        <v>13</v>
      </c>
      <c r="J28" s="1105">
        <v>8</v>
      </c>
      <c r="K28" s="1105"/>
      <c r="L28" s="1105"/>
      <c r="M28" s="1384">
        <v>2</v>
      </c>
      <c r="N28" s="941">
        <f t="shared" si="11"/>
        <v>431</v>
      </c>
      <c r="O28" s="942">
        <f t="shared" ref="O28" si="15">SUM(G28:M28)</f>
        <v>48</v>
      </c>
      <c r="P28" s="861" t="str">
        <f t="shared" ref="P28" si="16">IF(N28&gt;460,"Yes","NO")</f>
        <v>NO</v>
      </c>
      <c r="Q28" s="153"/>
      <c r="R28" s="88"/>
      <c r="S28" s="12"/>
    </row>
    <row r="29" spans="1:19" ht="15.75">
      <c r="A29" s="29" t="s">
        <v>0</v>
      </c>
      <c r="B29" s="161">
        <v>2579</v>
      </c>
      <c r="C29" s="869" t="s">
        <v>223</v>
      </c>
      <c r="D29" s="49" t="s">
        <v>11</v>
      </c>
      <c r="E29" s="50" t="s">
        <v>5</v>
      </c>
      <c r="F29" s="51"/>
      <c r="G29" s="899">
        <v>8</v>
      </c>
      <c r="H29" s="899">
        <v>13</v>
      </c>
      <c r="I29" s="899">
        <v>8</v>
      </c>
      <c r="J29" s="899">
        <v>3</v>
      </c>
      <c r="K29" s="899">
        <v>7</v>
      </c>
      <c r="L29" s="899">
        <v>9</v>
      </c>
      <c r="M29" s="917"/>
      <c r="N29" s="55">
        <f t="shared" si="11"/>
        <v>409</v>
      </c>
      <c r="O29" s="122">
        <f t="shared" ref="O29" si="17">SUM(G29:M29)</f>
        <v>48</v>
      </c>
      <c r="P29" s="863" t="str">
        <f t="shared" ref="P29" si="18">IF(N29&gt;460,"Yes","NO")</f>
        <v>NO</v>
      </c>
      <c r="Q29" s="153"/>
      <c r="R29" s="88"/>
      <c r="S29" s="12"/>
    </row>
    <row r="30" spans="1:19" ht="15.75">
      <c r="A30" s="29" t="s">
        <v>0</v>
      </c>
      <c r="B30" s="161">
        <v>1850</v>
      </c>
      <c r="C30" s="869" t="s">
        <v>200</v>
      </c>
      <c r="D30" s="49" t="s">
        <v>9</v>
      </c>
      <c r="E30" s="50" t="s">
        <v>5</v>
      </c>
      <c r="F30" s="51"/>
      <c r="G30" s="904">
        <v>11</v>
      </c>
      <c r="H30" s="904">
        <v>5</v>
      </c>
      <c r="I30" s="904">
        <v>13</v>
      </c>
      <c r="J30" s="904">
        <v>10</v>
      </c>
      <c r="K30" s="904">
        <v>5</v>
      </c>
      <c r="L30" s="904"/>
      <c r="M30" s="917">
        <v>4</v>
      </c>
      <c r="N30" s="55">
        <f t="shared" si="11"/>
        <v>392</v>
      </c>
      <c r="O30" s="122">
        <f>SUM(G30:M30)</f>
        <v>48</v>
      </c>
      <c r="P30" s="863" t="str">
        <f>IF(N30&gt;460,"Yes","NO")</f>
        <v>NO</v>
      </c>
      <c r="Q30" s="153" t="str">
        <f>IF(P30="yes","M","")</f>
        <v/>
      </c>
      <c r="R30" s="88" t="str">
        <f>IF(N30=0," ",IF(O30&lt;&gt;48,"ERROR!"," "))</f>
        <v xml:space="preserve"> </v>
      </c>
      <c r="S30" s="12"/>
    </row>
    <row r="31" spans="1:19" ht="15.75">
      <c r="A31" s="29" t="s">
        <v>0</v>
      </c>
      <c r="B31" s="1106">
        <v>1837</v>
      </c>
      <c r="C31" s="868" t="s">
        <v>244</v>
      </c>
      <c r="D31" s="65" t="s">
        <v>9</v>
      </c>
      <c r="E31" s="66" t="s">
        <v>5</v>
      </c>
      <c r="F31" s="67"/>
      <c r="G31" s="960">
        <v>9</v>
      </c>
      <c r="H31" s="960">
        <v>4</v>
      </c>
      <c r="I31" s="960">
        <v>14</v>
      </c>
      <c r="J31" s="960">
        <v>5</v>
      </c>
      <c r="K31" s="960">
        <v>7</v>
      </c>
      <c r="L31" s="960"/>
      <c r="M31" s="947">
        <v>9</v>
      </c>
      <c r="N31" s="864">
        <f t="shared" si="11"/>
        <v>345</v>
      </c>
      <c r="O31" s="865">
        <f>SUM(G31:M31)</f>
        <v>48</v>
      </c>
      <c r="P31" s="866" t="str">
        <f>IF(N31&gt;460,"Yes","NO")</f>
        <v>NO</v>
      </c>
      <c r="Q31" s="867" t="str">
        <f>IF(P31="yes","M","")</f>
        <v/>
      </c>
      <c r="R31" s="88" t="str">
        <f>IF(N31=0," ",IF(O31&lt;&gt;48,"ERROR!"," "))</f>
        <v xml:space="preserve"> </v>
      </c>
      <c r="S31" s="12"/>
    </row>
    <row r="32" spans="1:19" ht="16.5" thickBot="1">
      <c r="A32" s="29" t="s">
        <v>0</v>
      </c>
      <c r="B32" s="161">
        <v>1725</v>
      </c>
      <c r="C32" s="869" t="s">
        <v>253</v>
      </c>
      <c r="D32" s="49" t="s">
        <v>14</v>
      </c>
      <c r="E32" s="50" t="s">
        <v>5</v>
      </c>
      <c r="F32" s="51"/>
      <c r="G32" s="904">
        <v>3</v>
      </c>
      <c r="H32" s="904">
        <v>4</v>
      </c>
      <c r="I32" s="904">
        <v>4</v>
      </c>
      <c r="J32" s="904">
        <v>5</v>
      </c>
      <c r="K32" s="904"/>
      <c r="L32" s="904"/>
      <c r="M32" s="917">
        <v>32</v>
      </c>
      <c r="N32" s="55">
        <f t="shared" si="11"/>
        <v>146</v>
      </c>
      <c r="O32" s="122">
        <f t="shared" ref="O32" si="19">SUM(G32:M32)</f>
        <v>48</v>
      </c>
      <c r="P32" s="155" t="str">
        <f t="shared" si="8"/>
        <v>NO</v>
      </c>
      <c r="Q32" s="1381"/>
      <c r="R32" s="96"/>
      <c r="S32" s="12"/>
    </row>
    <row r="33" spans="1:19" ht="19.5" thickBot="1">
      <c r="A33" s="3"/>
      <c r="B33" s="79">
        <f>COUNT(B8:B32)</f>
        <v>25</v>
      </c>
      <c r="C33" s="1428" t="s">
        <v>32</v>
      </c>
      <c r="D33" s="1432"/>
      <c r="E33" s="1412" t="s">
        <v>64</v>
      </c>
      <c r="F33" s="1413"/>
      <c r="G33" s="1413"/>
      <c r="H33" s="1413"/>
      <c r="I33" s="1413"/>
      <c r="J33" s="1413"/>
      <c r="K33" s="1413"/>
      <c r="L33" s="1413"/>
      <c r="M33" s="1413"/>
      <c r="N33" s="1413"/>
      <c r="O33" s="1413"/>
      <c r="P33" s="1414"/>
      <c r="Q33" s="141"/>
      <c r="R33" s="141"/>
      <c r="S33" s="12"/>
    </row>
    <row r="34" spans="1:19" ht="18.75">
      <c r="A34" s="3"/>
      <c r="B34" s="849"/>
      <c r="C34" s="870"/>
      <c r="D34" s="870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141"/>
      <c r="R34" s="141"/>
      <c r="S34" s="12"/>
    </row>
    <row r="35" spans="1:19" ht="23.25" customHeight="1" thickBot="1"/>
    <row r="36" spans="1:19" ht="25.5" customHeight="1" thickBot="1">
      <c r="A36" s="3"/>
      <c r="B36" s="1415" t="s">
        <v>65</v>
      </c>
      <c r="C36" s="1416"/>
      <c r="D36" s="1416"/>
      <c r="E36" s="1416"/>
      <c r="F36" s="1416"/>
      <c r="G36" s="1416"/>
      <c r="H36" s="1416"/>
      <c r="I36" s="1416"/>
      <c r="J36" s="1416"/>
      <c r="K36" s="1416"/>
      <c r="L36" s="1416"/>
      <c r="M36" s="1416"/>
      <c r="N36" s="1416"/>
      <c r="O36" s="1416"/>
      <c r="P36" s="1416"/>
      <c r="Q36" s="1416"/>
      <c r="R36" s="1417"/>
    </row>
    <row r="37" spans="1:19" ht="31.5">
      <c r="A37" s="3"/>
      <c r="B37" s="18" t="s">
        <v>185</v>
      </c>
      <c r="C37" s="19" t="s">
        <v>19</v>
      </c>
      <c r="D37" s="20" t="s">
        <v>20</v>
      </c>
      <c r="E37" s="142" t="s">
        <v>21</v>
      </c>
      <c r="F37" s="21"/>
      <c r="G37" s="143" t="s">
        <v>22</v>
      </c>
      <c r="H37" s="23">
        <v>10</v>
      </c>
      <c r="I37" s="23">
        <v>9</v>
      </c>
      <c r="J37" s="23">
        <v>8</v>
      </c>
      <c r="K37" s="24">
        <v>7</v>
      </c>
      <c r="L37" s="24">
        <v>6</v>
      </c>
      <c r="M37" s="97">
        <v>0</v>
      </c>
      <c r="N37" s="144" t="s">
        <v>23</v>
      </c>
      <c r="O37" s="99" t="s">
        <v>39</v>
      </c>
      <c r="P37" s="26" t="s">
        <v>25</v>
      </c>
      <c r="Q37" s="27" t="s">
        <v>26</v>
      </c>
      <c r="R37" s="28" t="s">
        <v>27</v>
      </c>
    </row>
    <row r="38" spans="1:19" ht="16.5" thickBot="1">
      <c r="A38" s="29" t="s">
        <v>66</v>
      </c>
      <c r="B38" s="772">
        <v>2144</v>
      </c>
      <c r="C38" s="776" t="s">
        <v>43</v>
      </c>
      <c r="D38" s="58" t="s">
        <v>14</v>
      </c>
      <c r="E38" s="59" t="s">
        <v>4</v>
      </c>
      <c r="F38" s="60" t="e">
        <f>VLOOKUP(E38,$Y$6:$Z$7,2,FALSE)</f>
        <v>#N/A</v>
      </c>
      <c r="G38" s="61">
        <v>1</v>
      </c>
      <c r="H38" s="61">
        <v>6</v>
      </c>
      <c r="I38" s="61">
        <v>14</v>
      </c>
      <c r="J38" s="61">
        <v>13</v>
      </c>
      <c r="K38" s="61">
        <v>8</v>
      </c>
      <c r="L38" s="61"/>
      <c r="M38" s="766">
        <v>6</v>
      </c>
      <c r="N38" s="774">
        <f t="shared" ref="N38" si="20">(G38*10)+(H38*10)+(I38*9)+(J38*8)+(K38*7)+(L38*6)</f>
        <v>356</v>
      </c>
      <c r="O38" s="112">
        <f t="shared" ref="O38" si="21">SUM(G38:M38)</f>
        <v>48</v>
      </c>
      <c r="P38" s="768" t="str">
        <f>IF(N38&gt;460,"Yes","NO")</f>
        <v>NO</v>
      </c>
      <c r="Q38" s="53" t="str">
        <f>IF(P38="yes","M","")</f>
        <v/>
      </c>
      <c r="R38" s="63" t="str">
        <f>IF(N38=0," ",IF(O38&lt;&gt;48,"ERROR!"," "))</f>
        <v xml:space="preserve"> </v>
      </c>
    </row>
    <row r="39" spans="1:19" ht="15.75">
      <c r="A39" s="29" t="s">
        <v>66</v>
      </c>
      <c r="B39" s="161">
        <v>2786</v>
      </c>
      <c r="C39" s="869" t="s">
        <v>48</v>
      </c>
      <c r="D39" s="49" t="s">
        <v>14</v>
      </c>
      <c r="E39" s="50" t="s">
        <v>5</v>
      </c>
      <c r="F39" s="51" t="e">
        <f>VLOOKUP(E39,$Y$6:$Z$7,2,FALSE)</f>
        <v>#N/A</v>
      </c>
      <c r="G39" s="52">
        <v>8</v>
      </c>
      <c r="H39" s="52">
        <v>9</v>
      </c>
      <c r="I39" s="52">
        <v>14</v>
      </c>
      <c r="J39" s="52">
        <v>8</v>
      </c>
      <c r="K39" s="52">
        <v>4</v>
      </c>
      <c r="L39" s="52"/>
      <c r="M39" s="121">
        <v>5</v>
      </c>
      <c r="N39" s="55">
        <f>(G39*10)+(H39*10)+(I39*9)+(J39*8)+(K39*7)+(L39*6)</f>
        <v>388</v>
      </c>
      <c r="O39" s="122">
        <f t="shared" ref="O39" si="22">SUM(G39:M39)</f>
        <v>48</v>
      </c>
      <c r="P39" s="155" t="str">
        <f t="shared" ref="P39" si="23">IF(N39&gt;460,"Yes","NO")</f>
        <v>NO</v>
      </c>
      <c r="Q39" s="867"/>
      <c r="R39" s="88"/>
      <c r="S39" s="12"/>
    </row>
    <row r="40" spans="1:19" ht="15.75">
      <c r="A40" s="29" t="s">
        <v>0</v>
      </c>
      <c r="B40" s="773">
        <v>1615</v>
      </c>
      <c r="C40" s="72" t="s">
        <v>207</v>
      </c>
      <c r="D40" s="49" t="s">
        <v>14</v>
      </c>
      <c r="E40" s="50" t="s">
        <v>5</v>
      </c>
      <c r="F40" s="51"/>
      <c r="G40" s="52">
        <v>4</v>
      </c>
      <c r="H40" s="52">
        <v>9</v>
      </c>
      <c r="I40" s="52">
        <v>6</v>
      </c>
      <c r="J40" s="52">
        <v>8</v>
      </c>
      <c r="K40" s="52">
        <v>6</v>
      </c>
      <c r="L40" s="52"/>
      <c r="M40" s="148">
        <v>15</v>
      </c>
      <c r="N40" s="775">
        <f>(G40*10)+(H40*10)+(I40*9)+(J40*8)+(K40*7)+(L40*6)</f>
        <v>290</v>
      </c>
      <c r="O40" s="109">
        <f t="shared" ref="O40" si="24">SUM(G40:M40)</f>
        <v>48</v>
      </c>
      <c r="P40" s="209" t="str">
        <f t="shared" ref="P40" si="25">IF(N40&gt;460,"Yes","NO")</f>
        <v>NO</v>
      </c>
      <c r="Q40" s="53" t="str">
        <f t="shared" ref="Q40" si="26">IF(P40="yes","M","")</f>
        <v/>
      </c>
      <c r="R40" s="56" t="str">
        <f t="shared" ref="R40" si="27">IF(N40=0," ",IF(O40&lt;&gt;48,"ERROR!"," "))</f>
        <v xml:space="preserve"> </v>
      </c>
      <c r="S40" s="12"/>
    </row>
    <row r="41" spans="1:19" ht="19.5" thickBot="1">
      <c r="A41" s="3"/>
      <c r="B41" s="79">
        <f>COUNT(B38:B40)</f>
        <v>3</v>
      </c>
      <c r="C41" s="1431" t="s">
        <v>32</v>
      </c>
      <c r="D41" s="1432"/>
      <c r="E41" s="1412" t="s">
        <v>64</v>
      </c>
      <c r="F41" s="1413"/>
      <c r="G41" s="1413"/>
      <c r="H41" s="1413"/>
      <c r="I41" s="1413"/>
      <c r="J41" s="1413"/>
      <c r="K41" s="1413"/>
      <c r="L41" s="1413"/>
      <c r="M41" s="1413"/>
      <c r="N41" s="1413"/>
      <c r="O41" s="1413"/>
      <c r="P41" s="1414"/>
      <c r="Q41" s="141"/>
      <c r="R41" s="141"/>
    </row>
  </sheetData>
  <sortState ref="B24:N32">
    <sortCondition ref="E24:E32" customList="M,G,S,B"/>
    <sortCondition descending="1" ref="N24:N32"/>
  </sortState>
  <mergeCells count="8">
    <mergeCell ref="C41:D41"/>
    <mergeCell ref="E41:P41"/>
    <mergeCell ref="B6:R6"/>
    <mergeCell ref="B36:R36"/>
    <mergeCell ref="A2:S2"/>
    <mergeCell ref="B4:S4"/>
    <mergeCell ref="C33:D33"/>
    <mergeCell ref="E33:P3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8"/>
  <sheetViews>
    <sheetView topLeftCell="A13" workbookViewId="0">
      <selection activeCell="C48" sqref="C48:D48"/>
    </sheetView>
  </sheetViews>
  <sheetFormatPr defaultRowHeight="15"/>
  <cols>
    <col min="1" max="1" width="5.5703125" customWidth="1"/>
    <col min="2" max="2" width="6" customWidth="1"/>
    <col min="3" max="3" width="27" customWidth="1"/>
    <col min="6" max="6" width="0" hidden="1" customWidth="1"/>
  </cols>
  <sheetData>
    <row r="1" spans="1:20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  <c r="S1" s="1421"/>
    </row>
    <row r="2" spans="1:20" ht="16.5" thickBot="1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10"/>
      <c r="P2" s="11"/>
      <c r="Q2" s="12"/>
      <c r="R2" s="12"/>
      <c r="S2" s="12"/>
    </row>
    <row r="3" spans="1:20" ht="24" thickBot="1">
      <c r="A3" s="13"/>
      <c r="B3" s="1438" t="s">
        <v>16</v>
      </c>
      <c r="C3" s="1439"/>
      <c r="D3" s="1439"/>
      <c r="E3" s="1439"/>
      <c r="F3" s="1439"/>
      <c r="G3" s="1439"/>
      <c r="H3" s="1439"/>
      <c r="I3" s="1439"/>
      <c r="J3" s="1439"/>
      <c r="K3" s="1439"/>
      <c r="L3" s="1439"/>
      <c r="M3" s="1439"/>
      <c r="N3" s="1439"/>
      <c r="O3" s="1439"/>
      <c r="P3" s="1439"/>
      <c r="Q3" s="1439"/>
      <c r="R3" s="1439"/>
      <c r="S3" s="1440"/>
    </row>
    <row r="4" spans="1:20" ht="32.25" customHeight="1" thickBot="1">
      <c r="A4" s="3"/>
      <c r="B4" s="1415" t="s">
        <v>67</v>
      </c>
      <c r="C4" s="1416"/>
      <c r="D4" s="1416"/>
      <c r="E4" s="1416"/>
      <c r="F4" s="1416"/>
      <c r="G4" s="1416"/>
      <c r="H4" s="1416"/>
      <c r="I4" s="1416"/>
      <c r="J4" s="1416"/>
      <c r="K4" s="1416"/>
      <c r="L4" s="1416"/>
      <c r="M4" s="1416"/>
      <c r="N4" s="1416"/>
      <c r="O4" s="1416"/>
      <c r="P4" s="1416"/>
      <c r="Q4" s="1416"/>
      <c r="R4" s="1416"/>
      <c r="S4" s="1416"/>
      <c r="T4" s="1417"/>
    </row>
    <row r="5" spans="1:20" ht="32.25" thickBot="1">
      <c r="A5" s="3"/>
      <c r="B5" s="420" t="s">
        <v>185</v>
      </c>
      <c r="C5" s="70" t="s">
        <v>19</v>
      </c>
      <c r="D5" s="1017" t="s">
        <v>20</v>
      </c>
      <c r="E5" s="386" t="s">
        <v>21</v>
      </c>
      <c r="F5" s="69"/>
      <c r="G5" s="387" t="s">
        <v>22</v>
      </c>
      <c r="H5" s="387">
        <v>10</v>
      </c>
      <c r="I5" s="387">
        <v>9</v>
      </c>
      <c r="J5" s="387">
        <v>8</v>
      </c>
      <c r="K5" s="387">
        <v>7</v>
      </c>
      <c r="L5" s="388">
        <v>6</v>
      </c>
      <c r="M5" s="1018">
        <v>5</v>
      </c>
      <c r="N5" s="389">
        <v>0</v>
      </c>
      <c r="O5" s="1019" t="s">
        <v>23</v>
      </c>
      <c r="P5" s="1020" t="s">
        <v>39</v>
      </c>
      <c r="Q5" s="174"/>
      <c r="R5" s="175" t="s">
        <v>25</v>
      </c>
      <c r="S5" s="176" t="s">
        <v>26</v>
      </c>
      <c r="T5" s="85" t="s">
        <v>27</v>
      </c>
    </row>
    <row r="6" spans="1:20" ht="18.75">
      <c r="A6" s="29" t="s">
        <v>68</v>
      </c>
      <c r="B6" s="183">
        <v>169</v>
      </c>
      <c r="C6" s="73" t="s">
        <v>206</v>
      </c>
      <c r="D6" s="73" t="s">
        <v>7</v>
      </c>
      <c r="E6" s="50" t="s">
        <v>3</v>
      </c>
      <c r="F6" s="51" t="e">
        <f>VLOOKUP(E6,#REF!,2,FALSE)</f>
        <v>#REF!</v>
      </c>
      <c r="G6" s="184">
        <v>8</v>
      </c>
      <c r="H6" s="184">
        <v>13</v>
      </c>
      <c r="I6" s="184">
        <v>9</v>
      </c>
      <c r="J6" s="184"/>
      <c r="K6" s="184"/>
      <c r="L6" s="185"/>
      <c r="M6" s="185"/>
      <c r="N6" s="186"/>
      <c r="O6" s="187">
        <f t="shared" ref="O6:O7" si="0">(G6*10)+(H6*10)+(I6*9)+(J6*8)+(K6*7)+(L6*6)+(M6*5)</f>
        <v>291</v>
      </c>
      <c r="P6" s="188">
        <f t="shared" ref="P6:P21" si="1">SUM(G6:N6)</f>
        <v>30</v>
      </c>
      <c r="Q6" s="150"/>
      <c r="R6" s="197" t="str">
        <f>IF(O6&gt;296,"Yes","NO")</f>
        <v>NO</v>
      </c>
      <c r="S6" s="198"/>
      <c r="T6" s="157"/>
    </row>
    <row r="7" spans="1:20" ht="19.5" thickBot="1">
      <c r="A7" s="29" t="s">
        <v>68</v>
      </c>
      <c r="B7" s="278">
        <v>2434</v>
      </c>
      <c r="C7" s="799" t="s">
        <v>53</v>
      </c>
      <c r="D7" s="115" t="s">
        <v>9</v>
      </c>
      <c r="E7" s="59" t="s">
        <v>3</v>
      </c>
      <c r="F7" s="60" t="e">
        <f>VLOOKUP(E7,#REF!,2,FALSE)</f>
        <v>#REF!</v>
      </c>
      <c r="G7" s="191">
        <v>5</v>
      </c>
      <c r="H7" s="191">
        <v>12</v>
      </c>
      <c r="I7" s="191">
        <v>12</v>
      </c>
      <c r="J7" s="191"/>
      <c r="K7" s="191">
        <v>1</v>
      </c>
      <c r="L7" s="192"/>
      <c r="M7" s="192"/>
      <c r="N7" s="193"/>
      <c r="O7" s="194">
        <f t="shared" si="0"/>
        <v>285</v>
      </c>
      <c r="P7" s="195">
        <f t="shared" si="1"/>
        <v>30</v>
      </c>
      <c r="Q7" s="12"/>
      <c r="R7" s="690"/>
      <c r="S7" s="691"/>
      <c r="T7" s="157"/>
    </row>
    <row r="8" spans="1:20" ht="18.75">
      <c r="A8" s="29" t="s">
        <v>68</v>
      </c>
      <c r="B8" s="1094">
        <v>3623</v>
      </c>
      <c r="C8" s="1095" t="s">
        <v>69</v>
      </c>
      <c r="D8" s="162" t="s">
        <v>7</v>
      </c>
      <c r="E8" s="66" t="s">
        <v>4</v>
      </c>
      <c r="F8" s="67" t="e">
        <f>VLOOKUP(E8,#REF!,2,FALSE)</f>
        <v>#REF!</v>
      </c>
      <c r="G8" s="794">
        <v>6</v>
      </c>
      <c r="H8" s="794">
        <v>8</v>
      </c>
      <c r="I8" s="794">
        <v>13</v>
      </c>
      <c r="J8" s="794">
        <v>3</v>
      </c>
      <c r="K8" s="794"/>
      <c r="L8" s="795"/>
      <c r="M8" s="795"/>
      <c r="N8" s="796"/>
      <c r="O8" s="797">
        <f t="shared" ref="O8:O21" si="2">(G8*10)+(H8*10)+(I8*9)+(J8*8)+(K8*7)+(L8*6)+(M8*5)</f>
        <v>281</v>
      </c>
      <c r="P8" s="798">
        <f t="shared" si="1"/>
        <v>30</v>
      </c>
      <c r="Q8" s="150"/>
      <c r="R8" s="197" t="str">
        <f>IF(O8&gt;296,"Yes","NO")</f>
        <v>NO</v>
      </c>
      <c r="S8" s="198"/>
      <c r="T8" s="157" t="str">
        <f>IF(O8=0," ",IF(P8&lt;&gt;30,"ERROR!"," "))</f>
        <v xml:space="preserve"> </v>
      </c>
    </row>
    <row r="9" spans="1:20" ht="18.75">
      <c r="B9" s="183">
        <v>2138</v>
      </c>
      <c r="C9" s="73" t="s">
        <v>56</v>
      </c>
      <c r="D9" s="154" t="s">
        <v>9</v>
      </c>
      <c r="E9" s="50" t="s">
        <v>4</v>
      </c>
      <c r="F9" s="51" t="e">
        <f>VLOOKUP(E9,#REF!,2,FALSE)</f>
        <v>#REF!</v>
      </c>
      <c r="G9" s="184">
        <v>2</v>
      </c>
      <c r="H9" s="184">
        <v>11</v>
      </c>
      <c r="I9" s="184">
        <v>14</v>
      </c>
      <c r="J9" s="184">
        <v>3</v>
      </c>
      <c r="K9" s="184"/>
      <c r="L9" s="185"/>
      <c r="M9" s="185"/>
      <c r="N9" s="186"/>
      <c r="O9" s="187">
        <f t="shared" si="2"/>
        <v>280</v>
      </c>
      <c r="P9" s="188">
        <f>SUM(G9:N9)</f>
        <v>30</v>
      </c>
      <c r="Q9" s="800"/>
      <c r="R9" s="197" t="str">
        <f>IF(O9&gt;289,"Yes","NO")</f>
        <v>NO</v>
      </c>
      <c r="S9" s="208"/>
      <c r="T9" s="157"/>
    </row>
    <row r="10" spans="1:20" ht="18.75">
      <c r="A10" s="29" t="s">
        <v>68</v>
      </c>
      <c r="B10" s="183">
        <v>709</v>
      </c>
      <c r="C10" s="73" t="s">
        <v>71</v>
      </c>
      <c r="D10" s="154" t="s">
        <v>9</v>
      </c>
      <c r="E10" s="50" t="s">
        <v>4</v>
      </c>
      <c r="F10" s="51"/>
      <c r="G10" s="184">
        <v>2</v>
      </c>
      <c r="H10" s="184">
        <v>10</v>
      </c>
      <c r="I10" s="184">
        <v>13</v>
      </c>
      <c r="J10" s="184">
        <v>3</v>
      </c>
      <c r="K10" s="184">
        <v>1</v>
      </c>
      <c r="L10" s="185">
        <v>1</v>
      </c>
      <c r="M10" s="185"/>
      <c r="N10" s="186"/>
      <c r="O10" s="187">
        <f t="shared" si="2"/>
        <v>274</v>
      </c>
      <c r="P10" s="188">
        <f>SUM(G10:N10)</f>
        <v>30</v>
      </c>
      <c r="Q10" s="151"/>
      <c r="R10" s="197"/>
      <c r="S10" s="208"/>
      <c r="T10" s="157"/>
    </row>
    <row r="11" spans="1:20" ht="18.75">
      <c r="A11" s="29" t="s">
        <v>68</v>
      </c>
      <c r="B11" s="183">
        <v>1569</v>
      </c>
      <c r="C11" s="73" t="s">
        <v>220</v>
      </c>
      <c r="D11" s="154" t="s">
        <v>9</v>
      </c>
      <c r="E11" s="50" t="s">
        <v>4</v>
      </c>
      <c r="F11" s="51" t="e">
        <f>VLOOKUP(E11,#REF!,2,FALSE)</f>
        <v>#REF!</v>
      </c>
      <c r="G11" s="184">
        <v>1</v>
      </c>
      <c r="H11" s="184">
        <v>9</v>
      </c>
      <c r="I11" s="184">
        <v>12</v>
      </c>
      <c r="J11" s="184">
        <v>6</v>
      </c>
      <c r="K11" s="184">
        <v>2</v>
      </c>
      <c r="L11" s="185"/>
      <c r="M11" s="185"/>
      <c r="N11" s="186"/>
      <c r="O11" s="187">
        <f t="shared" si="2"/>
        <v>270</v>
      </c>
      <c r="P11" s="188">
        <f t="shared" si="1"/>
        <v>30</v>
      </c>
      <c r="Q11" s="150"/>
      <c r="R11" s="197" t="str">
        <f t="shared" ref="R11:R12" si="3">IF(O11&gt;296,"Yes","NO")</f>
        <v>NO</v>
      </c>
      <c r="S11" s="198" t="str">
        <f>IF(R11="yes","HM","")</f>
        <v/>
      </c>
      <c r="T11" s="157" t="str">
        <f>IF(O11=0," ",IF(P11&lt;&gt;30,"ERROR!"," "))</f>
        <v xml:space="preserve"> </v>
      </c>
    </row>
    <row r="12" spans="1:20" ht="19.5" thickBot="1">
      <c r="A12" s="29" t="s">
        <v>68</v>
      </c>
      <c r="B12" s="183">
        <v>42</v>
      </c>
      <c r="C12" s="73" t="s">
        <v>259</v>
      </c>
      <c r="D12" s="73" t="s">
        <v>2</v>
      </c>
      <c r="E12" s="50" t="s">
        <v>4</v>
      </c>
      <c r="F12" s="51"/>
      <c r="G12" s="184">
        <v>2</v>
      </c>
      <c r="H12" s="184">
        <v>5</v>
      </c>
      <c r="I12" s="184">
        <v>10</v>
      </c>
      <c r="J12" s="184">
        <v>6</v>
      </c>
      <c r="K12" s="184">
        <v>5</v>
      </c>
      <c r="L12" s="185">
        <v>1</v>
      </c>
      <c r="M12" s="185"/>
      <c r="N12" s="186">
        <v>1</v>
      </c>
      <c r="O12" s="187">
        <f t="shared" si="2"/>
        <v>249</v>
      </c>
      <c r="P12" s="188">
        <f t="shared" si="1"/>
        <v>30</v>
      </c>
      <c r="Q12" s="150"/>
      <c r="R12" s="197" t="str">
        <f t="shared" si="3"/>
        <v>NO</v>
      </c>
      <c r="S12" s="198" t="str">
        <f>IF(R12="yes","HM","")</f>
        <v/>
      </c>
      <c r="T12" s="157" t="str">
        <f>IF(O12=0," ",IF(P12&lt;&gt;30,"ERROR!"," "))</f>
        <v xml:space="preserve"> </v>
      </c>
    </row>
    <row r="13" spans="1:20" ht="18.75">
      <c r="A13" s="29" t="s">
        <v>68</v>
      </c>
      <c r="B13" s="196">
        <v>1314</v>
      </c>
      <c r="C13" s="64" t="s">
        <v>37</v>
      </c>
      <c r="D13" s="177" t="s">
        <v>12</v>
      </c>
      <c r="E13" s="32" t="s">
        <v>6</v>
      </c>
      <c r="F13" s="33">
        <v>2</v>
      </c>
      <c r="G13" s="178">
        <v>7</v>
      </c>
      <c r="H13" s="178">
        <v>15</v>
      </c>
      <c r="I13" s="178">
        <v>7</v>
      </c>
      <c r="J13" s="178">
        <v>1</v>
      </c>
      <c r="K13" s="178"/>
      <c r="L13" s="179"/>
      <c r="M13" s="179"/>
      <c r="N13" s="180"/>
      <c r="O13" s="181">
        <f t="shared" si="2"/>
        <v>291</v>
      </c>
      <c r="P13" s="182">
        <f t="shared" si="1"/>
        <v>30</v>
      </c>
      <c r="Q13" s="149"/>
      <c r="R13" s="199" t="str">
        <f t="shared" ref="R13:R19" si="4">IF(O13&gt;293,"Yes","NO")</f>
        <v>NO</v>
      </c>
      <c r="S13" s="200" t="str">
        <f>IF(R13="yes","M","")</f>
        <v/>
      </c>
      <c r="T13" s="157" t="str">
        <f>IF(O13=0," ",IF(P13&lt;&gt;30,"ERROR!"," "))</f>
        <v xml:space="preserve"> </v>
      </c>
    </row>
    <row r="14" spans="1:20" ht="18.75">
      <c r="A14" s="29" t="s">
        <v>68</v>
      </c>
      <c r="B14" s="189">
        <v>1798</v>
      </c>
      <c r="C14" s="74" t="s">
        <v>72</v>
      </c>
      <c r="D14" s="154" t="s">
        <v>7</v>
      </c>
      <c r="E14" s="50" t="s">
        <v>6</v>
      </c>
      <c r="F14" s="51" t="e">
        <f>VLOOKUP(E14,#REF!,2,FALSE)</f>
        <v>#REF!</v>
      </c>
      <c r="G14" s="184">
        <v>3</v>
      </c>
      <c r="H14" s="184">
        <v>9</v>
      </c>
      <c r="I14" s="184">
        <v>17</v>
      </c>
      <c r="J14" s="184">
        <v>1</v>
      </c>
      <c r="K14" s="184"/>
      <c r="L14" s="185"/>
      <c r="M14" s="185"/>
      <c r="N14" s="186"/>
      <c r="O14" s="187">
        <f t="shared" si="2"/>
        <v>281</v>
      </c>
      <c r="P14" s="188">
        <f t="shared" si="1"/>
        <v>30</v>
      </c>
      <c r="Q14" s="158"/>
      <c r="R14" s="201" t="str">
        <f t="shared" si="4"/>
        <v>NO</v>
      </c>
      <c r="S14" s="200"/>
      <c r="T14" s="157"/>
    </row>
    <row r="15" spans="1:20" ht="18.75">
      <c r="A15" s="29" t="s">
        <v>68</v>
      </c>
      <c r="B15" s="183">
        <v>1477</v>
      </c>
      <c r="C15" s="73" t="s">
        <v>268</v>
      </c>
      <c r="D15" s="73" t="s">
        <v>14</v>
      </c>
      <c r="E15" s="50" t="s">
        <v>6</v>
      </c>
      <c r="F15" s="51"/>
      <c r="G15" s="899">
        <v>3</v>
      </c>
      <c r="H15" s="899">
        <v>11</v>
      </c>
      <c r="I15" s="899">
        <v>13</v>
      </c>
      <c r="J15" s="899">
        <v>1</v>
      </c>
      <c r="K15" s="899">
        <v>1</v>
      </c>
      <c r="L15" s="899"/>
      <c r="M15" s="899"/>
      <c r="N15" s="899">
        <v>1</v>
      </c>
      <c r="O15" s="187">
        <f t="shared" si="2"/>
        <v>272</v>
      </c>
      <c r="P15" s="188">
        <f t="shared" si="1"/>
        <v>30</v>
      </c>
      <c r="Q15" s="150"/>
      <c r="R15" s="197" t="str">
        <f t="shared" si="4"/>
        <v>NO</v>
      </c>
      <c r="S15" s="198"/>
      <c r="T15" s="157"/>
    </row>
    <row r="16" spans="1:20" ht="18.75">
      <c r="A16" s="29" t="s">
        <v>68</v>
      </c>
      <c r="B16" s="183">
        <v>2105</v>
      </c>
      <c r="C16" s="73" t="s">
        <v>227</v>
      </c>
      <c r="D16" s="154" t="s">
        <v>11</v>
      </c>
      <c r="E16" s="50" t="s">
        <v>6</v>
      </c>
      <c r="F16" s="51">
        <v>2</v>
      </c>
      <c r="G16" s="904">
        <v>3</v>
      </c>
      <c r="H16" s="904">
        <v>7</v>
      </c>
      <c r="I16" s="904">
        <v>10</v>
      </c>
      <c r="J16" s="904">
        <v>6</v>
      </c>
      <c r="K16" s="904">
        <v>4</v>
      </c>
      <c r="L16" s="904">
        <v>0</v>
      </c>
      <c r="M16" s="904">
        <v>0</v>
      </c>
      <c r="N16" s="904">
        <v>0</v>
      </c>
      <c r="O16" s="187">
        <f t="shared" si="2"/>
        <v>266</v>
      </c>
      <c r="P16" s="188">
        <f t="shared" si="1"/>
        <v>30</v>
      </c>
      <c r="Q16" s="150"/>
      <c r="R16" s="197" t="str">
        <f t="shared" si="4"/>
        <v>NO</v>
      </c>
      <c r="S16" s="198" t="str">
        <f>IF(R16="yes","M","")</f>
        <v/>
      </c>
      <c r="T16" s="157" t="str">
        <f>IF(O16=0," ",IF(P16&lt;&gt;30,"ERROR!"," "))</f>
        <v xml:space="preserve"> </v>
      </c>
    </row>
    <row r="17" spans="1:20" ht="18.75">
      <c r="A17" s="29" t="s">
        <v>68</v>
      </c>
      <c r="B17" s="183">
        <v>1809</v>
      </c>
      <c r="C17" s="73" t="s">
        <v>61</v>
      </c>
      <c r="D17" s="154" t="s">
        <v>9</v>
      </c>
      <c r="E17" s="50" t="s">
        <v>6</v>
      </c>
      <c r="F17" s="51">
        <v>2</v>
      </c>
      <c r="G17" s="184">
        <v>2</v>
      </c>
      <c r="H17" s="184">
        <v>11</v>
      </c>
      <c r="I17" s="184">
        <v>11</v>
      </c>
      <c r="J17" s="184">
        <v>3</v>
      </c>
      <c r="K17" s="184">
        <v>1</v>
      </c>
      <c r="L17" s="185">
        <v>1</v>
      </c>
      <c r="M17" s="185"/>
      <c r="N17" s="900">
        <v>1</v>
      </c>
      <c r="O17" s="187">
        <f t="shared" si="2"/>
        <v>266</v>
      </c>
      <c r="P17" s="188">
        <f t="shared" si="1"/>
        <v>30</v>
      </c>
      <c r="Q17" s="151"/>
      <c r="R17" s="197" t="str">
        <f t="shared" si="4"/>
        <v>NO</v>
      </c>
      <c r="S17" s="198" t="str">
        <f>IF(R17="yes","M","")</f>
        <v/>
      </c>
      <c r="T17" s="157" t="str">
        <f>IF(O17=0," ",IF(P17&lt;&gt;30,"ERROR!"," "))</f>
        <v xml:space="preserve"> </v>
      </c>
    </row>
    <row r="18" spans="1:20" ht="18.75">
      <c r="A18" s="29" t="s">
        <v>68</v>
      </c>
      <c r="B18" s="183">
        <v>1750</v>
      </c>
      <c r="C18" s="73" t="s">
        <v>226</v>
      </c>
      <c r="D18" s="73" t="s">
        <v>11</v>
      </c>
      <c r="E18" s="50" t="s">
        <v>6</v>
      </c>
      <c r="F18" s="51">
        <v>2</v>
      </c>
      <c r="G18" s="904">
        <v>2</v>
      </c>
      <c r="H18" s="904">
        <v>7</v>
      </c>
      <c r="I18" s="904">
        <v>9</v>
      </c>
      <c r="J18" s="904">
        <v>8</v>
      </c>
      <c r="K18" s="904">
        <v>3</v>
      </c>
      <c r="L18" s="904">
        <v>1</v>
      </c>
      <c r="M18" s="904">
        <v>0</v>
      </c>
      <c r="N18" s="904">
        <v>0</v>
      </c>
      <c r="O18" s="187">
        <f t="shared" si="2"/>
        <v>262</v>
      </c>
      <c r="P18" s="188">
        <f t="shared" ref="P18" si="5">SUM(G18:N18)</f>
        <v>30</v>
      </c>
      <c r="Q18" s="151"/>
      <c r="R18" s="197" t="str">
        <f t="shared" si="4"/>
        <v>NO</v>
      </c>
      <c r="S18" s="830"/>
      <c r="T18" s="157"/>
    </row>
    <row r="19" spans="1:20" ht="18.75">
      <c r="A19" s="29" t="s">
        <v>68</v>
      </c>
      <c r="B19" s="183">
        <v>706</v>
      </c>
      <c r="C19" s="73" t="s">
        <v>70</v>
      </c>
      <c r="D19" s="154" t="s">
        <v>9</v>
      </c>
      <c r="E19" s="50" t="s">
        <v>6</v>
      </c>
      <c r="F19" s="51">
        <v>2</v>
      </c>
      <c r="G19" s="184">
        <v>0</v>
      </c>
      <c r="H19" s="184">
        <v>6</v>
      </c>
      <c r="I19" s="184">
        <v>13</v>
      </c>
      <c r="J19" s="184">
        <v>9</v>
      </c>
      <c r="K19" s="184">
        <v>1</v>
      </c>
      <c r="L19" s="185">
        <v>1</v>
      </c>
      <c r="M19" s="185"/>
      <c r="N19" s="186"/>
      <c r="O19" s="187">
        <f t="shared" si="2"/>
        <v>262</v>
      </c>
      <c r="P19" s="188">
        <f t="shared" si="1"/>
        <v>30</v>
      </c>
      <c r="Q19" s="151"/>
      <c r="R19" s="197" t="str">
        <f t="shared" si="4"/>
        <v>NO</v>
      </c>
      <c r="S19" s="198"/>
      <c r="T19" s="157"/>
    </row>
    <row r="20" spans="1:20" ht="18.75">
      <c r="A20" s="29" t="s">
        <v>68</v>
      </c>
      <c r="B20" s="183">
        <v>1268</v>
      </c>
      <c r="C20" s="73" t="s">
        <v>202</v>
      </c>
      <c r="D20" s="154" t="s">
        <v>9</v>
      </c>
      <c r="E20" s="50" t="s">
        <v>6</v>
      </c>
      <c r="F20" s="51"/>
      <c r="G20" s="184">
        <v>1</v>
      </c>
      <c r="H20" s="184">
        <v>3</v>
      </c>
      <c r="I20" s="184">
        <v>18</v>
      </c>
      <c r="J20" s="184">
        <v>4</v>
      </c>
      <c r="K20" s="184">
        <v>2</v>
      </c>
      <c r="L20" s="185">
        <v>2</v>
      </c>
      <c r="M20" s="185"/>
      <c r="N20" s="186"/>
      <c r="O20" s="187">
        <f t="shared" si="2"/>
        <v>260</v>
      </c>
      <c r="P20" s="188">
        <f t="shared" si="1"/>
        <v>30</v>
      </c>
      <c r="Q20" s="158"/>
      <c r="R20" s="209" t="str">
        <f>IF(O20&gt;279,"Yes","NO")</f>
        <v>NO</v>
      </c>
      <c r="S20" s="136"/>
      <c r="T20" s="206"/>
    </row>
    <row r="21" spans="1:20" ht="19.5" thickBot="1">
      <c r="A21" s="29" t="s">
        <v>68</v>
      </c>
      <c r="B21" s="189">
        <v>2144</v>
      </c>
      <c r="C21" s="74" t="s">
        <v>82</v>
      </c>
      <c r="D21" s="154" t="s">
        <v>14</v>
      </c>
      <c r="E21" s="50" t="s">
        <v>6</v>
      </c>
      <c r="F21" s="51">
        <v>1</v>
      </c>
      <c r="G21" s="184">
        <v>0</v>
      </c>
      <c r="H21" s="184">
        <v>4</v>
      </c>
      <c r="I21" s="184">
        <v>10</v>
      </c>
      <c r="J21" s="184">
        <v>9</v>
      </c>
      <c r="K21" s="184">
        <v>5</v>
      </c>
      <c r="L21" s="185">
        <v>1</v>
      </c>
      <c r="M21" s="185"/>
      <c r="N21" s="186">
        <v>1</v>
      </c>
      <c r="O21" s="187">
        <f t="shared" si="2"/>
        <v>243</v>
      </c>
      <c r="P21" s="188">
        <f t="shared" si="1"/>
        <v>30</v>
      </c>
      <c r="Q21" s="151"/>
      <c r="R21" s="197" t="str">
        <f>IF(O21&gt;293,"Yes","NO")</f>
        <v>NO</v>
      </c>
      <c r="S21" s="198"/>
      <c r="T21" s="157"/>
    </row>
    <row r="22" spans="1:20" ht="18.75">
      <c r="A22" s="29" t="s">
        <v>68</v>
      </c>
      <c r="B22" s="272">
        <v>2579</v>
      </c>
      <c r="C22" s="64" t="s">
        <v>223</v>
      </c>
      <c r="D22" s="177" t="s">
        <v>11</v>
      </c>
      <c r="E22" s="32" t="s">
        <v>5</v>
      </c>
      <c r="F22" s="33"/>
      <c r="G22" s="902">
        <v>6</v>
      </c>
      <c r="H22" s="902">
        <v>6</v>
      </c>
      <c r="I22" s="902">
        <v>16</v>
      </c>
      <c r="J22" s="902">
        <v>2</v>
      </c>
      <c r="K22" s="902">
        <v>0</v>
      </c>
      <c r="L22" s="902">
        <v>0</v>
      </c>
      <c r="M22" s="902">
        <v>0</v>
      </c>
      <c r="N22" s="902">
        <v>0</v>
      </c>
      <c r="O22" s="181">
        <f t="shared" ref="O22" si="6">(G22*10)+(H22*10)+(I22*9)+(J22*8)+(K22*7)+(L22*6)+(M22*5)</f>
        <v>280</v>
      </c>
      <c r="P22" s="182">
        <f t="shared" ref="P22:P43" si="7">SUM(G22:N22)</f>
        <v>30</v>
      </c>
      <c r="Q22" s="769"/>
      <c r="R22" s="197" t="str">
        <f t="shared" ref="R22:R39" si="8">IF(O22&gt;293,"Yes","NO")</f>
        <v>NO</v>
      </c>
      <c r="S22" s="204" t="str">
        <f>IF(R22="yes","M","")</f>
        <v/>
      </c>
      <c r="T22" s="157" t="str">
        <f>IF(O22=0," ",IF(P22&lt;&gt;30,"ERROR!"," "))</f>
        <v xml:space="preserve"> </v>
      </c>
    </row>
    <row r="23" spans="1:20" ht="18.75">
      <c r="A23" s="29" t="s">
        <v>68</v>
      </c>
      <c r="B23" s="183">
        <v>1956</v>
      </c>
      <c r="C23" s="73" t="s">
        <v>47</v>
      </c>
      <c r="D23" s="154" t="s">
        <v>11</v>
      </c>
      <c r="E23" s="50" t="s">
        <v>5</v>
      </c>
      <c r="F23" s="51">
        <v>1</v>
      </c>
      <c r="G23" s="904">
        <v>5</v>
      </c>
      <c r="H23" s="904">
        <v>9</v>
      </c>
      <c r="I23" s="904">
        <v>12</v>
      </c>
      <c r="J23" s="904">
        <v>3</v>
      </c>
      <c r="K23" s="904">
        <v>1</v>
      </c>
      <c r="L23" s="904">
        <v>0</v>
      </c>
      <c r="M23" s="904">
        <v>0</v>
      </c>
      <c r="N23" s="904">
        <v>0</v>
      </c>
      <c r="O23" s="187">
        <f t="shared" ref="O23:O47" si="9">(G23*10)+(H23*10)+(I23*9)+(J23*8)+(K23*7)+(L23*6)+(M23*5)</f>
        <v>279</v>
      </c>
      <c r="P23" s="188">
        <f t="shared" si="7"/>
        <v>30</v>
      </c>
      <c r="Q23" s="770"/>
      <c r="R23" s="197" t="str">
        <f t="shared" si="8"/>
        <v>NO</v>
      </c>
      <c r="S23" s="198" t="str">
        <f>IF(R23="yes","M","")</f>
        <v/>
      </c>
      <c r="T23" s="157" t="str">
        <f>IF(O23=0," ",IF(P23&lt;&gt;30,"ERROR!"," "))</f>
        <v xml:space="preserve"> </v>
      </c>
    </row>
    <row r="24" spans="1:20" ht="18.75">
      <c r="A24" s="29" t="s">
        <v>68</v>
      </c>
      <c r="B24" s="207">
        <v>309</v>
      </c>
      <c r="C24" s="73" t="s">
        <v>228</v>
      </c>
      <c r="D24" s="154" t="s">
        <v>11</v>
      </c>
      <c r="E24" s="50" t="s">
        <v>5</v>
      </c>
      <c r="F24" s="51">
        <v>1</v>
      </c>
      <c r="G24" s="904">
        <v>5</v>
      </c>
      <c r="H24" s="904">
        <v>13</v>
      </c>
      <c r="I24" s="904">
        <v>9</v>
      </c>
      <c r="J24" s="904">
        <v>1</v>
      </c>
      <c r="K24" s="904">
        <v>1</v>
      </c>
      <c r="L24" s="904">
        <v>0</v>
      </c>
      <c r="M24" s="904">
        <v>0</v>
      </c>
      <c r="N24" s="904">
        <v>1</v>
      </c>
      <c r="O24" s="187">
        <f t="shared" si="9"/>
        <v>276</v>
      </c>
      <c r="P24" s="188">
        <f t="shared" si="7"/>
        <v>30</v>
      </c>
      <c r="Q24" s="770"/>
      <c r="R24" s="197" t="str">
        <f t="shared" si="8"/>
        <v>NO</v>
      </c>
      <c r="S24" s="830"/>
      <c r="T24" s="157"/>
    </row>
    <row r="25" spans="1:20" ht="18.75">
      <c r="A25" s="29" t="s">
        <v>68</v>
      </c>
      <c r="B25" s="189">
        <v>676</v>
      </c>
      <c r="C25" s="74" t="s">
        <v>229</v>
      </c>
      <c r="D25" s="154" t="s">
        <v>11</v>
      </c>
      <c r="E25" s="50" t="s">
        <v>5</v>
      </c>
      <c r="F25" s="51">
        <v>1</v>
      </c>
      <c r="G25" s="904">
        <v>1</v>
      </c>
      <c r="H25" s="904">
        <v>10</v>
      </c>
      <c r="I25" s="904">
        <v>14</v>
      </c>
      <c r="J25" s="904">
        <v>4</v>
      </c>
      <c r="K25" s="904">
        <v>1</v>
      </c>
      <c r="L25" s="904">
        <v>0</v>
      </c>
      <c r="M25" s="904">
        <v>0</v>
      </c>
      <c r="N25" s="904">
        <v>0</v>
      </c>
      <c r="O25" s="187">
        <f t="shared" si="9"/>
        <v>275</v>
      </c>
      <c r="P25" s="188">
        <f t="shared" si="7"/>
        <v>30</v>
      </c>
      <c r="Q25" s="770"/>
      <c r="R25" s="197" t="str">
        <f t="shared" si="8"/>
        <v>NO</v>
      </c>
      <c r="S25" s="198" t="str">
        <f>IF(R25="yes","M","")</f>
        <v/>
      </c>
      <c r="T25" s="157" t="str">
        <f>IF(O25=0," ",IF(P25&lt;&gt;30,"ERROR!"," "))</f>
        <v xml:space="preserve"> </v>
      </c>
    </row>
    <row r="26" spans="1:20" ht="18.75">
      <c r="A26" s="29" t="s">
        <v>68</v>
      </c>
      <c r="B26" s="183">
        <v>1143</v>
      </c>
      <c r="C26" s="73" t="s">
        <v>59</v>
      </c>
      <c r="D26" s="154" t="s">
        <v>9</v>
      </c>
      <c r="E26" s="50" t="s">
        <v>5</v>
      </c>
      <c r="F26" s="51">
        <v>1</v>
      </c>
      <c r="G26" s="184">
        <v>1</v>
      </c>
      <c r="H26" s="184">
        <v>8</v>
      </c>
      <c r="I26" s="184">
        <v>15</v>
      </c>
      <c r="J26" s="184">
        <v>5</v>
      </c>
      <c r="K26" s="184">
        <v>1</v>
      </c>
      <c r="L26" s="185"/>
      <c r="M26" s="185"/>
      <c r="N26" s="186"/>
      <c r="O26" s="187">
        <f t="shared" si="9"/>
        <v>272</v>
      </c>
      <c r="P26" s="188">
        <f t="shared" si="7"/>
        <v>30</v>
      </c>
      <c r="Q26" s="800"/>
      <c r="R26" s="202" t="str">
        <f t="shared" si="8"/>
        <v>NO</v>
      </c>
      <c r="S26" s="205" t="str">
        <f>IF(R26="yes","M","")</f>
        <v/>
      </c>
      <c r="T26" s="88" t="str">
        <f>IF(O26=0," ",IF(P26&lt;&gt;30,"ERROR!"," "))</f>
        <v xml:space="preserve"> </v>
      </c>
    </row>
    <row r="27" spans="1:20" ht="18.75">
      <c r="A27" s="29" t="s">
        <v>68</v>
      </c>
      <c r="B27" s="207">
        <v>2582</v>
      </c>
      <c r="C27" s="73" t="s">
        <v>76</v>
      </c>
      <c r="D27" s="154" t="s">
        <v>11</v>
      </c>
      <c r="E27" s="50" t="s">
        <v>5</v>
      </c>
      <c r="F27" s="51">
        <v>1</v>
      </c>
      <c r="G27" s="904">
        <v>2</v>
      </c>
      <c r="H27" s="904">
        <v>7</v>
      </c>
      <c r="I27" s="904">
        <v>14</v>
      </c>
      <c r="J27" s="904">
        <v>5</v>
      </c>
      <c r="K27" s="904">
        <v>2</v>
      </c>
      <c r="L27" s="904">
        <v>0</v>
      </c>
      <c r="M27" s="904">
        <v>0</v>
      </c>
      <c r="N27" s="904">
        <v>0</v>
      </c>
      <c r="O27" s="187">
        <f t="shared" si="9"/>
        <v>270</v>
      </c>
      <c r="P27" s="188">
        <f t="shared" si="7"/>
        <v>30</v>
      </c>
      <c r="Q27" s="770"/>
      <c r="R27" s="197" t="str">
        <f t="shared" si="8"/>
        <v>NO</v>
      </c>
      <c r="S27" s="198" t="str">
        <f>IF(R27="yes","M","")</f>
        <v/>
      </c>
      <c r="T27" s="157" t="str">
        <f>IF(O27=0," ",IF(P27&lt;&gt;30,"ERROR!"," "))</f>
        <v xml:space="preserve"> </v>
      </c>
    </row>
    <row r="28" spans="1:20" ht="18.75">
      <c r="A28" s="29" t="s">
        <v>68</v>
      </c>
      <c r="B28" s="207">
        <v>1294</v>
      </c>
      <c r="C28" s="73" t="s">
        <v>218</v>
      </c>
      <c r="D28" s="154" t="s">
        <v>11</v>
      </c>
      <c r="E28" s="50" t="s">
        <v>5</v>
      </c>
      <c r="F28" s="51"/>
      <c r="G28" s="904">
        <v>0</v>
      </c>
      <c r="H28" s="904">
        <v>5</v>
      </c>
      <c r="I28" s="904">
        <v>18</v>
      </c>
      <c r="J28" s="904">
        <v>5</v>
      </c>
      <c r="K28" s="904">
        <v>1</v>
      </c>
      <c r="L28" s="904">
        <v>1</v>
      </c>
      <c r="M28" s="904">
        <v>0</v>
      </c>
      <c r="N28" s="904">
        <v>0</v>
      </c>
      <c r="O28" s="187">
        <f t="shared" si="9"/>
        <v>265</v>
      </c>
      <c r="P28" s="188">
        <f t="shared" si="7"/>
        <v>30</v>
      </c>
      <c r="Q28" s="770"/>
      <c r="R28" s="197" t="str">
        <f t="shared" si="8"/>
        <v>NO</v>
      </c>
      <c r="S28" s="136"/>
      <c r="T28" s="206"/>
    </row>
    <row r="29" spans="1:20" ht="18.75">
      <c r="A29" s="29" t="s">
        <v>68</v>
      </c>
      <c r="B29" s="183">
        <v>2499</v>
      </c>
      <c r="C29" s="73" t="s">
        <v>269</v>
      </c>
      <c r="D29" s="73" t="s">
        <v>14</v>
      </c>
      <c r="E29" s="50" t="s">
        <v>5</v>
      </c>
      <c r="F29" s="51"/>
      <c r="G29" s="214">
        <v>2</v>
      </c>
      <c r="H29" s="214">
        <v>5</v>
      </c>
      <c r="I29" s="214">
        <v>16</v>
      </c>
      <c r="J29" s="214">
        <v>3</v>
      </c>
      <c r="K29" s="214">
        <v>3</v>
      </c>
      <c r="L29" s="215">
        <v>1</v>
      </c>
      <c r="M29" s="215"/>
      <c r="N29" s="914"/>
      <c r="O29" s="187">
        <f t="shared" si="9"/>
        <v>265</v>
      </c>
      <c r="P29" s="188">
        <f t="shared" si="7"/>
        <v>30</v>
      </c>
      <c r="Q29" s="770"/>
      <c r="R29" s="197" t="str">
        <f t="shared" si="8"/>
        <v>NO</v>
      </c>
      <c r="S29" s="136"/>
      <c r="T29" s="206"/>
    </row>
    <row r="30" spans="1:20" ht="18.75">
      <c r="A30" s="29" t="s">
        <v>68</v>
      </c>
      <c r="B30" s="183">
        <v>2578</v>
      </c>
      <c r="C30" s="73" t="s">
        <v>44</v>
      </c>
      <c r="D30" s="154" t="s">
        <v>11</v>
      </c>
      <c r="E30" s="50" t="s">
        <v>5</v>
      </c>
      <c r="F30" s="51">
        <v>1</v>
      </c>
      <c r="G30" s="904">
        <v>0</v>
      </c>
      <c r="H30" s="904">
        <v>8</v>
      </c>
      <c r="I30" s="904">
        <v>12</v>
      </c>
      <c r="J30" s="904">
        <v>7</v>
      </c>
      <c r="K30" s="904">
        <v>1</v>
      </c>
      <c r="L30" s="904">
        <v>2</v>
      </c>
      <c r="M30" s="904">
        <v>0</v>
      </c>
      <c r="N30" s="904">
        <v>0</v>
      </c>
      <c r="O30" s="187">
        <f t="shared" si="9"/>
        <v>263</v>
      </c>
      <c r="P30" s="188">
        <f t="shared" si="7"/>
        <v>30</v>
      </c>
      <c r="Q30" s="770"/>
      <c r="R30" s="197" t="str">
        <f t="shared" si="8"/>
        <v>NO</v>
      </c>
      <c r="S30" s="136"/>
      <c r="T30" s="206"/>
    </row>
    <row r="31" spans="1:20" ht="18.75">
      <c r="A31" s="29" t="s">
        <v>68</v>
      </c>
      <c r="B31" s="207">
        <v>1922</v>
      </c>
      <c r="C31" s="73" t="s">
        <v>224</v>
      </c>
      <c r="D31" s="154" t="s">
        <v>11</v>
      </c>
      <c r="E31" s="50" t="s">
        <v>5</v>
      </c>
      <c r="F31" s="51"/>
      <c r="G31" s="904">
        <v>4</v>
      </c>
      <c r="H31" s="904">
        <v>5</v>
      </c>
      <c r="I31" s="904">
        <v>9</v>
      </c>
      <c r="J31" s="904">
        <v>6</v>
      </c>
      <c r="K31" s="904">
        <v>5</v>
      </c>
      <c r="L31" s="904">
        <v>1</v>
      </c>
      <c r="M31" s="904">
        <v>0</v>
      </c>
      <c r="N31" s="904">
        <v>0</v>
      </c>
      <c r="O31" s="187">
        <f t="shared" si="9"/>
        <v>260</v>
      </c>
      <c r="P31" s="188">
        <f t="shared" si="7"/>
        <v>30</v>
      </c>
      <c r="Q31" s="770"/>
      <c r="R31" s="197" t="str">
        <f t="shared" si="8"/>
        <v>NO</v>
      </c>
      <c r="S31" s="136"/>
      <c r="T31" s="206"/>
    </row>
    <row r="32" spans="1:20" ht="18.75">
      <c r="A32" s="29" t="s">
        <v>68</v>
      </c>
      <c r="B32" s="183">
        <v>1982</v>
      </c>
      <c r="C32" s="73" t="s">
        <v>77</v>
      </c>
      <c r="D32" s="73" t="s">
        <v>14</v>
      </c>
      <c r="E32" s="50" t="s">
        <v>5</v>
      </c>
      <c r="F32" s="51">
        <v>1</v>
      </c>
      <c r="G32" s="184">
        <v>3</v>
      </c>
      <c r="H32" s="184">
        <v>7</v>
      </c>
      <c r="I32" s="184">
        <v>7</v>
      </c>
      <c r="J32" s="184">
        <v>6</v>
      </c>
      <c r="K32" s="184">
        <v>6</v>
      </c>
      <c r="L32" s="185">
        <v>1</v>
      </c>
      <c r="M32" s="185"/>
      <c r="N32" s="186"/>
      <c r="O32" s="187">
        <f t="shared" si="9"/>
        <v>259</v>
      </c>
      <c r="P32" s="188">
        <f t="shared" si="7"/>
        <v>30</v>
      </c>
      <c r="Q32" s="770"/>
      <c r="R32" s="197" t="str">
        <f t="shared" si="8"/>
        <v>NO</v>
      </c>
      <c r="S32" s="136"/>
      <c r="T32" s="206"/>
    </row>
    <row r="33" spans="1:20" ht="18.75">
      <c r="A33" s="29" t="s">
        <v>68</v>
      </c>
      <c r="B33" s="189">
        <v>1050</v>
      </c>
      <c r="C33" s="74" t="s">
        <v>249</v>
      </c>
      <c r="D33" s="154" t="s">
        <v>9</v>
      </c>
      <c r="E33" s="50" t="s">
        <v>5</v>
      </c>
      <c r="F33" s="51">
        <v>1</v>
      </c>
      <c r="G33" s="903">
        <v>1</v>
      </c>
      <c r="H33" s="903">
        <v>5</v>
      </c>
      <c r="I33" s="903">
        <v>13</v>
      </c>
      <c r="J33" s="903">
        <v>6</v>
      </c>
      <c r="K33" s="903">
        <v>4</v>
      </c>
      <c r="L33" s="903">
        <v>1</v>
      </c>
      <c r="M33" s="903"/>
      <c r="N33" s="905"/>
      <c r="O33" s="187">
        <f t="shared" si="9"/>
        <v>259</v>
      </c>
      <c r="P33" s="188">
        <f t="shared" si="7"/>
        <v>30</v>
      </c>
      <c r="Q33" s="770"/>
      <c r="R33" s="197" t="str">
        <f t="shared" si="8"/>
        <v>NO</v>
      </c>
      <c r="S33" s="136"/>
      <c r="T33" s="206"/>
    </row>
    <row r="34" spans="1:20" ht="18.75">
      <c r="A34" s="29" t="s">
        <v>68</v>
      </c>
      <c r="B34" s="183">
        <v>1952</v>
      </c>
      <c r="C34" s="73" t="s">
        <v>216</v>
      </c>
      <c r="D34" s="73" t="s">
        <v>7</v>
      </c>
      <c r="E34" s="50" t="s">
        <v>5</v>
      </c>
      <c r="F34" s="51">
        <v>1</v>
      </c>
      <c r="G34" s="903">
        <v>2</v>
      </c>
      <c r="H34" s="903">
        <v>8</v>
      </c>
      <c r="I34" s="903">
        <v>9</v>
      </c>
      <c r="J34" s="903">
        <v>7</v>
      </c>
      <c r="K34" s="903">
        <v>3</v>
      </c>
      <c r="L34" s="903"/>
      <c r="M34" s="903"/>
      <c r="N34" s="903">
        <v>1</v>
      </c>
      <c r="O34" s="187">
        <f t="shared" si="9"/>
        <v>258</v>
      </c>
      <c r="P34" s="188">
        <f t="shared" si="7"/>
        <v>30</v>
      </c>
      <c r="Q34" s="770"/>
      <c r="R34" s="197" t="str">
        <f t="shared" si="8"/>
        <v>NO</v>
      </c>
      <c r="S34" s="136"/>
      <c r="T34" s="206"/>
    </row>
    <row r="35" spans="1:20" ht="18.75">
      <c r="A35" s="29" t="s">
        <v>68</v>
      </c>
      <c r="B35" s="189">
        <v>888</v>
      </c>
      <c r="C35" s="74" t="s">
        <v>74</v>
      </c>
      <c r="D35" s="154" t="s">
        <v>9</v>
      </c>
      <c r="E35" s="50" t="s">
        <v>5</v>
      </c>
      <c r="F35" s="51">
        <v>1</v>
      </c>
      <c r="G35" s="903">
        <v>0</v>
      </c>
      <c r="H35" s="903">
        <v>11</v>
      </c>
      <c r="I35" s="903">
        <v>9</v>
      </c>
      <c r="J35" s="903">
        <v>4</v>
      </c>
      <c r="K35" s="903">
        <v>4</v>
      </c>
      <c r="L35" s="903">
        <v>1</v>
      </c>
      <c r="M35" s="903"/>
      <c r="N35" s="905">
        <v>1</v>
      </c>
      <c r="O35" s="187">
        <f t="shared" si="9"/>
        <v>257</v>
      </c>
      <c r="P35" s="188">
        <f t="shared" si="7"/>
        <v>30</v>
      </c>
      <c r="Q35" s="770"/>
      <c r="R35" s="197" t="str">
        <f t="shared" si="8"/>
        <v>NO</v>
      </c>
      <c r="S35" s="136"/>
      <c r="T35" s="206"/>
    </row>
    <row r="36" spans="1:20" ht="18.75">
      <c r="A36" s="29" t="s">
        <v>68</v>
      </c>
      <c r="B36" s="207">
        <v>1850</v>
      </c>
      <c r="C36" s="73" t="s">
        <v>200</v>
      </c>
      <c r="D36" s="154" t="s">
        <v>9</v>
      </c>
      <c r="E36" s="50" t="s">
        <v>5</v>
      </c>
      <c r="F36" s="51"/>
      <c r="G36" s="184">
        <v>0</v>
      </c>
      <c r="H36" s="184">
        <v>4</v>
      </c>
      <c r="I36" s="184">
        <v>13</v>
      </c>
      <c r="J36" s="184">
        <v>9</v>
      </c>
      <c r="K36" s="184">
        <v>4</v>
      </c>
      <c r="L36" s="185"/>
      <c r="M36" s="185"/>
      <c r="N36" s="186"/>
      <c r="O36" s="187">
        <f t="shared" si="9"/>
        <v>257</v>
      </c>
      <c r="P36" s="188">
        <f t="shared" si="7"/>
        <v>30</v>
      </c>
      <c r="Q36" s="770"/>
      <c r="R36" s="197" t="str">
        <f t="shared" si="8"/>
        <v>NO</v>
      </c>
      <c r="S36" s="136"/>
      <c r="T36" s="206"/>
    </row>
    <row r="37" spans="1:20" ht="18.75">
      <c r="A37" s="29" t="s">
        <v>68</v>
      </c>
      <c r="B37" s="189">
        <v>1172</v>
      </c>
      <c r="C37" s="74" t="s">
        <v>248</v>
      </c>
      <c r="D37" s="154" t="s">
        <v>7</v>
      </c>
      <c r="E37" s="50" t="s">
        <v>5</v>
      </c>
      <c r="F37" s="51">
        <v>1</v>
      </c>
      <c r="G37" s="184">
        <v>1</v>
      </c>
      <c r="H37" s="184">
        <v>10</v>
      </c>
      <c r="I37" s="184">
        <v>8</v>
      </c>
      <c r="J37" s="184">
        <v>4</v>
      </c>
      <c r="K37" s="184">
        <v>6</v>
      </c>
      <c r="L37" s="185"/>
      <c r="M37" s="185"/>
      <c r="N37" s="186">
        <v>1</v>
      </c>
      <c r="O37" s="187">
        <f t="shared" si="9"/>
        <v>256</v>
      </c>
      <c r="P37" s="188">
        <f t="shared" si="7"/>
        <v>30</v>
      </c>
      <c r="Q37" s="770"/>
      <c r="R37" s="197" t="str">
        <f t="shared" si="8"/>
        <v>NO</v>
      </c>
      <c r="S37" s="136"/>
      <c r="T37" s="206"/>
    </row>
    <row r="38" spans="1:20" ht="18.75">
      <c r="A38" s="29" t="s">
        <v>68</v>
      </c>
      <c r="B38" s="207">
        <v>1264</v>
      </c>
      <c r="C38" s="73" t="s">
        <v>178</v>
      </c>
      <c r="D38" s="154" t="s">
        <v>7</v>
      </c>
      <c r="E38" s="50" t="s">
        <v>5</v>
      </c>
      <c r="F38" s="51">
        <v>1</v>
      </c>
      <c r="G38" s="214">
        <v>0</v>
      </c>
      <c r="H38" s="214">
        <v>7</v>
      </c>
      <c r="I38" s="214">
        <v>10</v>
      </c>
      <c r="J38" s="214">
        <v>7</v>
      </c>
      <c r="K38" s="214">
        <v>3</v>
      </c>
      <c r="L38" s="215">
        <v>3</v>
      </c>
      <c r="M38" s="215"/>
      <c r="N38" s="216"/>
      <c r="O38" s="187">
        <f t="shared" si="9"/>
        <v>255</v>
      </c>
      <c r="P38" s="188">
        <f t="shared" si="7"/>
        <v>30</v>
      </c>
      <c r="Q38" s="770"/>
      <c r="R38" s="197" t="str">
        <f t="shared" si="8"/>
        <v>NO</v>
      </c>
      <c r="S38" s="136"/>
      <c r="T38" s="206"/>
    </row>
    <row r="39" spans="1:20" ht="18.75">
      <c r="A39" s="29" t="s">
        <v>68</v>
      </c>
      <c r="B39" s="207">
        <v>2521</v>
      </c>
      <c r="C39" s="73" t="s">
        <v>211</v>
      </c>
      <c r="D39" s="154" t="s">
        <v>9</v>
      </c>
      <c r="E39" s="50" t="s">
        <v>5</v>
      </c>
      <c r="F39" s="51"/>
      <c r="G39" s="184">
        <v>2</v>
      </c>
      <c r="H39" s="184">
        <v>2</v>
      </c>
      <c r="I39" s="184">
        <v>12</v>
      </c>
      <c r="J39" s="184">
        <v>7</v>
      </c>
      <c r="K39" s="184">
        <v>6</v>
      </c>
      <c r="L39" s="185">
        <v>1</v>
      </c>
      <c r="M39" s="185"/>
      <c r="N39" s="186"/>
      <c r="O39" s="187">
        <f t="shared" si="9"/>
        <v>252</v>
      </c>
      <c r="P39" s="188">
        <f t="shared" si="7"/>
        <v>30</v>
      </c>
      <c r="Q39" s="770"/>
      <c r="R39" s="197" t="str">
        <f t="shared" si="8"/>
        <v>NO</v>
      </c>
      <c r="S39" s="136"/>
      <c r="T39" s="206"/>
    </row>
    <row r="40" spans="1:20" ht="18.75">
      <c r="A40" s="29" t="s">
        <v>68</v>
      </c>
      <c r="B40" s="183">
        <v>1054</v>
      </c>
      <c r="C40" s="73" t="s">
        <v>190</v>
      </c>
      <c r="D40" s="154" t="s">
        <v>9</v>
      </c>
      <c r="E40" s="50" t="s">
        <v>5</v>
      </c>
      <c r="F40" s="51"/>
      <c r="G40" s="900">
        <v>3</v>
      </c>
      <c r="H40" s="900">
        <v>4</v>
      </c>
      <c r="I40" s="900">
        <v>7</v>
      </c>
      <c r="J40" s="900">
        <v>8</v>
      </c>
      <c r="K40" s="900">
        <v>5</v>
      </c>
      <c r="L40" s="900">
        <v>3</v>
      </c>
      <c r="M40" s="900"/>
      <c r="N40" s="901"/>
      <c r="O40" s="187">
        <f t="shared" si="9"/>
        <v>250</v>
      </c>
      <c r="P40" s="188">
        <f t="shared" si="7"/>
        <v>30</v>
      </c>
      <c r="Q40" s="786"/>
      <c r="R40" s="197" t="str">
        <f t="shared" ref="R40:R47" si="10">IF(O40&gt;289,"Yes","NO")</f>
        <v>NO</v>
      </c>
      <c r="S40" s="208" t="str">
        <f>IF(R40="yes","G","")</f>
        <v/>
      </c>
      <c r="T40" s="157" t="str">
        <f>IF(O40=0," ",IF(P40&lt;&gt;30,"ERROR!"," "))</f>
        <v xml:space="preserve"> </v>
      </c>
    </row>
    <row r="41" spans="1:20" ht="18.75">
      <c r="A41" s="29" t="s">
        <v>68</v>
      </c>
      <c r="B41" s="207">
        <v>1052</v>
      </c>
      <c r="C41" s="73" t="s">
        <v>75</v>
      </c>
      <c r="D41" s="154" t="s">
        <v>9</v>
      </c>
      <c r="E41" s="50" t="s">
        <v>5</v>
      </c>
      <c r="F41" s="51">
        <v>1</v>
      </c>
      <c r="G41" s="903">
        <v>1</v>
      </c>
      <c r="H41" s="903">
        <v>6</v>
      </c>
      <c r="I41" s="903">
        <v>13</v>
      </c>
      <c r="J41" s="903">
        <v>6</v>
      </c>
      <c r="K41" s="903">
        <v>0</v>
      </c>
      <c r="L41" s="903">
        <v>1</v>
      </c>
      <c r="M41" s="903">
        <v>0</v>
      </c>
      <c r="N41" s="905">
        <v>3</v>
      </c>
      <c r="O41" s="187">
        <f t="shared" si="9"/>
        <v>241</v>
      </c>
      <c r="P41" s="188">
        <f t="shared" si="7"/>
        <v>30</v>
      </c>
      <c r="Q41" s="770"/>
      <c r="R41" s="197" t="str">
        <f t="shared" si="10"/>
        <v>NO</v>
      </c>
      <c r="S41" s="208" t="str">
        <f>IF(R41="yes","G","")</f>
        <v/>
      </c>
      <c r="T41" s="157" t="str">
        <f>IF(O41=0," ",IF(P41&lt;&gt;30,"ERROR!"," "))</f>
        <v xml:space="preserve"> </v>
      </c>
    </row>
    <row r="42" spans="1:20" ht="18.75">
      <c r="A42" s="29" t="s">
        <v>68</v>
      </c>
      <c r="B42" s="189">
        <v>1837</v>
      </c>
      <c r="C42" s="74" t="s">
        <v>244</v>
      </c>
      <c r="D42" s="154" t="s">
        <v>9</v>
      </c>
      <c r="E42" s="50" t="s">
        <v>5</v>
      </c>
      <c r="F42" s="51">
        <v>1</v>
      </c>
      <c r="G42" s="184">
        <v>0</v>
      </c>
      <c r="H42" s="184">
        <v>4</v>
      </c>
      <c r="I42" s="184">
        <v>8</v>
      </c>
      <c r="J42" s="184">
        <v>7</v>
      </c>
      <c r="K42" s="184">
        <v>8</v>
      </c>
      <c r="L42" s="185">
        <v>1</v>
      </c>
      <c r="M42" s="185">
        <v>1</v>
      </c>
      <c r="N42" s="186">
        <v>1</v>
      </c>
      <c r="O42" s="187">
        <f t="shared" si="9"/>
        <v>235</v>
      </c>
      <c r="P42" s="188">
        <f t="shared" si="7"/>
        <v>30</v>
      </c>
      <c r="Q42" s="770"/>
      <c r="R42" s="197" t="str">
        <f t="shared" si="10"/>
        <v>NO</v>
      </c>
      <c r="S42" s="208" t="str">
        <f>IF(R42="yes","G","")</f>
        <v/>
      </c>
      <c r="T42" s="157" t="str">
        <f>IF(O42=0," ",IF(P42&lt;&gt;30,"ERROR!"," "))</f>
        <v xml:space="preserve"> </v>
      </c>
    </row>
    <row r="43" spans="1:20" ht="18.75">
      <c r="A43" s="29" t="s">
        <v>68</v>
      </c>
      <c r="B43" s="207">
        <v>2165</v>
      </c>
      <c r="C43" s="73" t="s">
        <v>63</v>
      </c>
      <c r="D43" s="154" t="s">
        <v>11</v>
      </c>
      <c r="E43" s="50" t="s">
        <v>5</v>
      </c>
      <c r="F43" s="51">
        <v>1</v>
      </c>
      <c r="G43" s="904">
        <v>1</v>
      </c>
      <c r="H43" s="904">
        <v>3</v>
      </c>
      <c r="I43" s="904">
        <v>4</v>
      </c>
      <c r="J43" s="904">
        <v>14</v>
      </c>
      <c r="K43" s="904">
        <v>3</v>
      </c>
      <c r="L43" s="904">
        <v>2</v>
      </c>
      <c r="M43" s="904">
        <v>0</v>
      </c>
      <c r="N43" s="904">
        <v>3</v>
      </c>
      <c r="O43" s="187">
        <f t="shared" si="9"/>
        <v>221</v>
      </c>
      <c r="P43" s="188">
        <f t="shared" si="7"/>
        <v>30</v>
      </c>
      <c r="Q43" s="800"/>
      <c r="R43" s="197" t="str">
        <f t="shared" si="10"/>
        <v>NO</v>
      </c>
      <c r="S43" s="208" t="str">
        <f>IF(R43="yes","G","")</f>
        <v/>
      </c>
      <c r="T43" s="157" t="str">
        <f>IF(O43=0," ",IF(P43&lt;&gt;30,"ERROR!"," "))</f>
        <v xml:space="preserve"> </v>
      </c>
    </row>
    <row r="44" spans="1:20" ht="18.75">
      <c r="A44" s="29" t="s">
        <v>68</v>
      </c>
      <c r="B44" s="183">
        <v>168</v>
      </c>
      <c r="C44" s="73" t="s">
        <v>83</v>
      </c>
      <c r="D44" s="73" t="s">
        <v>7</v>
      </c>
      <c r="E44" s="50" t="s">
        <v>5</v>
      </c>
      <c r="F44" s="51">
        <v>1</v>
      </c>
      <c r="G44" s="903">
        <v>1</v>
      </c>
      <c r="H44" s="903">
        <v>2</v>
      </c>
      <c r="I44" s="903">
        <v>7</v>
      </c>
      <c r="J44" s="903">
        <v>3</v>
      </c>
      <c r="K44" s="903">
        <v>9</v>
      </c>
      <c r="L44" s="903">
        <v>2</v>
      </c>
      <c r="M44" s="903">
        <v>4</v>
      </c>
      <c r="N44" s="905">
        <v>2</v>
      </c>
      <c r="O44" s="187">
        <f t="shared" si="9"/>
        <v>212</v>
      </c>
      <c r="P44" s="188">
        <f t="shared" ref="P44:P45" si="11">SUM(G44:N44)</f>
        <v>30</v>
      </c>
      <c r="Q44" s="800"/>
      <c r="R44" s="197" t="str">
        <f t="shared" si="10"/>
        <v>NO</v>
      </c>
      <c r="S44" s="208"/>
      <c r="T44" s="157"/>
    </row>
    <row r="45" spans="1:20" ht="18.75">
      <c r="A45" s="29" t="s">
        <v>68</v>
      </c>
      <c r="B45" s="183">
        <v>1687</v>
      </c>
      <c r="C45" s="73" t="s">
        <v>230</v>
      </c>
      <c r="D45" s="73" t="s">
        <v>11</v>
      </c>
      <c r="E45" s="50" t="s">
        <v>5</v>
      </c>
      <c r="F45" s="51"/>
      <c r="G45" s="899">
        <v>2</v>
      </c>
      <c r="H45" s="899">
        <v>2</v>
      </c>
      <c r="I45" s="899">
        <v>4</v>
      </c>
      <c r="J45" s="899">
        <v>5</v>
      </c>
      <c r="K45" s="899">
        <v>8</v>
      </c>
      <c r="L45" s="899">
        <v>1</v>
      </c>
      <c r="M45" s="899">
        <v>0</v>
      </c>
      <c r="N45" s="899">
        <v>8</v>
      </c>
      <c r="O45" s="187">
        <f t="shared" si="9"/>
        <v>178</v>
      </c>
      <c r="P45" s="188">
        <f t="shared" si="11"/>
        <v>30</v>
      </c>
      <c r="Q45" s="800"/>
      <c r="R45" s="197" t="str">
        <f t="shared" si="10"/>
        <v>NO</v>
      </c>
      <c r="S45" s="208"/>
      <c r="T45" s="157"/>
    </row>
    <row r="46" spans="1:20" ht="18.75">
      <c r="A46" s="29" t="s">
        <v>68</v>
      </c>
      <c r="B46" s="207">
        <v>1244</v>
      </c>
      <c r="C46" s="73" t="s">
        <v>225</v>
      </c>
      <c r="D46" s="154" t="s">
        <v>11</v>
      </c>
      <c r="E46" s="50" t="s">
        <v>5</v>
      </c>
      <c r="F46" s="51"/>
      <c r="G46" s="899">
        <v>0</v>
      </c>
      <c r="H46" s="899">
        <v>0</v>
      </c>
      <c r="I46" s="899">
        <v>4</v>
      </c>
      <c r="J46" s="899">
        <v>4</v>
      </c>
      <c r="K46" s="899">
        <v>5</v>
      </c>
      <c r="L46" s="899">
        <v>3</v>
      </c>
      <c r="M46" s="899">
        <v>1</v>
      </c>
      <c r="N46" s="899">
        <v>13</v>
      </c>
      <c r="O46" s="187">
        <f t="shared" si="9"/>
        <v>126</v>
      </c>
      <c r="P46" s="188">
        <f t="shared" ref="P46" si="12">SUM(G46:N46)</f>
        <v>30</v>
      </c>
      <c r="Q46" s="800"/>
      <c r="R46" s="197" t="str">
        <f t="shared" si="10"/>
        <v>NO</v>
      </c>
      <c r="S46" s="208"/>
      <c r="T46" s="157"/>
    </row>
    <row r="47" spans="1:20" ht="18.75">
      <c r="A47" s="29" t="s">
        <v>68</v>
      </c>
      <c r="B47" s="183">
        <v>1725</v>
      </c>
      <c r="C47" s="73" t="s">
        <v>62</v>
      </c>
      <c r="D47" s="73" t="s">
        <v>14</v>
      </c>
      <c r="E47" s="50" t="s">
        <v>5</v>
      </c>
      <c r="F47" s="51">
        <v>1</v>
      </c>
      <c r="G47" s="184">
        <v>0</v>
      </c>
      <c r="H47" s="184">
        <v>0</v>
      </c>
      <c r="I47" s="184">
        <v>1</v>
      </c>
      <c r="J47" s="184">
        <v>0</v>
      </c>
      <c r="K47" s="184">
        <v>5</v>
      </c>
      <c r="L47" s="185">
        <v>4</v>
      </c>
      <c r="M47" s="185">
        <v>1</v>
      </c>
      <c r="N47" s="912">
        <v>19</v>
      </c>
      <c r="O47" s="187">
        <f t="shared" si="9"/>
        <v>73</v>
      </c>
      <c r="P47" s="188">
        <f t="shared" ref="P47" si="13">SUM(G47:N47)</f>
        <v>30</v>
      </c>
      <c r="Q47" s="770"/>
      <c r="R47" s="197" t="str">
        <f t="shared" si="10"/>
        <v>NO</v>
      </c>
      <c r="S47" s="208" t="str">
        <f>IF(R47="yes","G","")</f>
        <v/>
      </c>
      <c r="T47" s="157" t="str">
        <f>IF(O47=0," ",IF(P47&lt;&gt;30,"ERROR!"," "))</f>
        <v xml:space="preserve"> </v>
      </c>
    </row>
    <row r="48" spans="1:20" ht="19.5" thickBot="1">
      <c r="A48" s="3"/>
      <c r="B48" s="231">
        <f>COUNT(B6:B47)</f>
        <v>42</v>
      </c>
      <c r="C48" s="1433" t="s">
        <v>85</v>
      </c>
      <c r="D48" s="1434"/>
      <c r="E48" s="1435" t="s">
        <v>86</v>
      </c>
      <c r="F48" s="1436"/>
      <c r="G48" s="1436"/>
      <c r="H48" s="1436"/>
      <c r="I48" s="1436"/>
      <c r="J48" s="1436"/>
      <c r="K48" s="1436"/>
      <c r="L48" s="1436"/>
      <c r="M48" s="1436"/>
      <c r="N48" s="1436"/>
      <c r="O48" s="1436"/>
      <c r="P48" s="1437"/>
      <c r="Q48" s="12"/>
      <c r="R48" s="12"/>
      <c r="S48" s="12"/>
      <c r="T48" s="5"/>
    </row>
  </sheetData>
  <sortState ref="B23:O48">
    <sortCondition descending="1" ref="O22"/>
  </sortState>
  <mergeCells count="5">
    <mergeCell ref="C48:D48"/>
    <mergeCell ref="E48:P48"/>
    <mergeCell ref="A1:S1"/>
    <mergeCell ref="B3:S3"/>
    <mergeCell ref="B4:T4"/>
  </mergeCells>
  <pageMargins left="0.70866141732283472" right="0.70866141732283472" top="0.74803149606299213" bottom="0.74803149606299213" header="0.31496062992125984" footer="0.31496062992125984"/>
  <pageSetup paperSize="9" scale="70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2"/>
  <sheetViews>
    <sheetView topLeftCell="A24" workbookViewId="0">
      <selection activeCell="B5" sqref="B5"/>
    </sheetView>
  </sheetViews>
  <sheetFormatPr defaultRowHeight="15"/>
  <cols>
    <col min="1" max="1" width="6.140625" customWidth="1"/>
    <col min="3" max="3" width="25.140625" customWidth="1"/>
    <col min="6" max="6" width="0" hidden="1" customWidth="1"/>
  </cols>
  <sheetData>
    <row r="1" spans="1:20" ht="24" thickBot="1">
      <c r="A1" s="1419" t="s">
        <v>210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1420"/>
      <c r="O1" s="1420"/>
      <c r="P1" s="1420"/>
      <c r="Q1" s="1420"/>
      <c r="R1" s="1420"/>
      <c r="S1" s="1421"/>
      <c r="T1" s="12"/>
    </row>
    <row r="2" spans="1:20" ht="16.5" thickBot="1">
      <c r="A2" s="3"/>
      <c r="B2" s="4"/>
      <c r="C2" s="5"/>
      <c r="D2" s="5"/>
      <c r="E2" s="6"/>
      <c r="F2" s="5"/>
      <c r="G2" s="7"/>
      <c r="H2" s="7"/>
      <c r="I2" s="7"/>
      <c r="J2" s="7"/>
      <c r="K2" s="7"/>
      <c r="L2" s="8"/>
      <c r="M2" s="9"/>
      <c r="N2" s="8"/>
      <c r="O2" s="10"/>
      <c r="P2" s="11"/>
      <c r="Q2" s="12"/>
      <c r="R2" s="12"/>
      <c r="S2" s="12"/>
      <c r="T2" s="12"/>
    </row>
    <row r="3" spans="1:20" ht="24" thickBot="1">
      <c r="A3" s="13"/>
      <c r="B3" s="1422" t="s">
        <v>16</v>
      </c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  <c r="N3" s="1423"/>
      <c r="O3" s="1423"/>
      <c r="P3" s="1423"/>
      <c r="Q3" s="1423"/>
      <c r="R3" s="1423"/>
      <c r="S3" s="1424"/>
      <c r="T3" s="13"/>
    </row>
    <row r="4" spans="1:20" ht="16.5" thickBot="1">
      <c r="A4" s="3"/>
      <c r="B4" s="4"/>
      <c r="C4" s="5"/>
      <c r="D4" s="5"/>
      <c r="E4" s="6"/>
      <c r="F4" s="5"/>
      <c r="G4" s="7"/>
      <c r="H4" s="7"/>
      <c r="I4" s="7"/>
      <c r="J4" s="7"/>
      <c r="K4" s="7"/>
      <c r="L4" s="8"/>
      <c r="M4" s="9"/>
      <c r="N4" s="8"/>
      <c r="O4" s="10"/>
      <c r="P4" s="11"/>
      <c r="Q4" s="12"/>
      <c r="R4" s="12"/>
      <c r="S4" s="12"/>
      <c r="T4" s="12"/>
    </row>
    <row r="5" spans="1:20" ht="27" thickBot="1">
      <c r="A5" s="3"/>
      <c r="B5" s="4"/>
      <c r="C5" s="1415" t="s">
        <v>87</v>
      </c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41"/>
      <c r="O5" s="1442"/>
      <c r="P5" s="11"/>
      <c r="Q5" s="12"/>
      <c r="R5" s="12"/>
      <c r="S5" s="12"/>
      <c r="T5" s="12"/>
    </row>
    <row r="6" spans="1:20" ht="32.25" thickBot="1">
      <c r="A6" s="3"/>
      <c r="B6" s="165" t="s">
        <v>185</v>
      </c>
      <c r="C6" s="19" t="s">
        <v>19</v>
      </c>
      <c r="D6" s="1017" t="s">
        <v>20</v>
      </c>
      <c r="E6" s="6" t="s">
        <v>21</v>
      </c>
      <c r="F6" s="21"/>
      <c r="G6" s="167" t="s">
        <v>22</v>
      </c>
      <c r="H6" s="168">
        <v>10</v>
      </c>
      <c r="I6" s="168">
        <v>9</v>
      </c>
      <c r="J6" s="168">
        <v>8</v>
      </c>
      <c r="K6" s="168">
        <v>7</v>
      </c>
      <c r="L6" s="169">
        <v>6</v>
      </c>
      <c r="M6" s="170">
        <v>5</v>
      </c>
      <c r="N6" s="171">
        <v>0</v>
      </c>
      <c r="O6" s="172" t="s">
        <v>23</v>
      </c>
      <c r="P6" s="173" t="s">
        <v>39</v>
      </c>
      <c r="Q6" s="174"/>
      <c r="R6" s="175" t="s">
        <v>25</v>
      </c>
      <c r="S6" s="176" t="s">
        <v>26</v>
      </c>
      <c r="T6" s="85" t="s">
        <v>27</v>
      </c>
    </row>
    <row r="7" spans="1:20" ht="18.75">
      <c r="A7" s="29" t="s">
        <v>88</v>
      </c>
      <c r="B7" s="1321">
        <v>1786</v>
      </c>
      <c r="C7" s="33" t="s">
        <v>208</v>
      </c>
      <c r="D7" s="40" t="s">
        <v>14</v>
      </c>
      <c r="E7" s="1323" t="s">
        <v>15</v>
      </c>
      <c r="F7" s="1300"/>
      <c r="G7" s="360">
        <v>9</v>
      </c>
      <c r="H7" s="360">
        <v>14</v>
      </c>
      <c r="I7" s="360">
        <v>6</v>
      </c>
      <c r="J7" s="360">
        <v>1</v>
      </c>
      <c r="K7" s="392"/>
      <c r="L7" s="393"/>
      <c r="M7" s="1322"/>
      <c r="N7" s="1324"/>
      <c r="O7" s="181">
        <f t="shared" ref="O7" si="0">(G7*10)+(H7*10)+(I7*9)+(J7*8)+(K7*7)+(L7*6)+(M7*5)</f>
        <v>292</v>
      </c>
      <c r="P7" s="211">
        <f t="shared" ref="P7" si="1">SUM(G7:N7)</f>
        <v>30</v>
      </c>
      <c r="Q7" s="1199"/>
      <c r="R7" s="1319"/>
      <c r="S7" s="1320"/>
      <c r="T7" s="847"/>
    </row>
    <row r="8" spans="1:20" ht="19.5" thickBot="1">
      <c r="A8" s="29" t="s">
        <v>88</v>
      </c>
      <c r="B8" s="217">
        <v>1465</v>
      </c>
      <c r="C8" s="91" t="s">
        <v>30</v>
      </c>
      <c r="D8" s="91" t="s">
        <v>14</v>
      </c>
      <c r="E8" s="92" t="s">
        <v>15</v>
      </c>
      <c r="F8" s="93" t="e">
        <f>VLOOKUP(E8,$Y$8:$Z$8,2,FALSE)</f>
        <v>#N/A</v>
      </c>
      <c r="G8" s="219">
        <v>9</v>
      </c>
      <c r="H8" s="219">
        <v>12</v>
      </c>
      <c r="I8" s="219">
        <v>8</v>
      </c>
      <c r="J8" s="219"/>
      <c r="K8" s="219"/>
      <c r="L8" s="220"/>
      <c r="M8" s="220"/>
      <c r="N8" s="221">
        <v>1</v>
      </c>
      <c r="O8" s="222">
        <f t="shared" ref="O8" si="2">(G8*10)+(H8*10)+(I8*9)+(J8*8)+(K8*7)+(L8*6)+(M8*5)</f>
        <v>282</v>
      </c>
      <c r="P8" s="223">
        <f t="shared" ref="P8:P36" si="3">SUM(G8:N8)</f>
        <v>30</v>
      </c>
      <c r="Q8" s="12"/>
      <c r="R8" s="690"/>
      <c r="S8" s="691"/>
      <c r="T8" s="157" t="str">
        <f>IF(O8=0," ",IF(P8&lt;&gt;30,"ERROR!"," "))</f>
        <v xml:space="preserve"> </v>
      </c>
    </row>
    <row r="9" spans="1:20" ht="18.75">
      <c r="A9" s="29" t="s">
        <v>88</v>
      </c>
      <c r="B9" s="183">
        <v>2434</v>
      </c>
      <c r="C9" s="73" t="s">
        <v>53</v>
      </c>
      <c r="D9" s="154" t="s">
        <v>9</v>
      </c>
      <c r="E9" s="50" t="s">
        <v>3</v>
      </c>
      <c r="F9" s="51" t="e">
        <f>VLOOKUP(E9,$Y$8:$Z$8,2,FALSE)</f>
        <v>#N/A</v>
      </c>
      <c r="G9" s="184">
        <v>11</v>
      </c>
      <c r="H9" s="184">
        <v>17</v>
      </c>
      <c r="I9" s="184">
        <v>2</v>
      </c>
      <c r="J9" s="184"/>
      <c r="K9" s="184"/>
      <c r="L9" s="185"/>
      <c r="M9" s="185"/>
      <c r="N9" s="186"/>
      <c r="O9" s="187">
        <f t="shared" ref="O9:O41" si="4">(G9*10)+(H9*10)+(I9*9)+(J9*8)+(K9*7)+(L9*6)+(M9*5)</f>
        <v>298</v>
      </c>
      <c r="P9" s="212">
        <f t="shared" si="3"/>
        <v>30</v>
      </c>
      <c r="Q9" s="12"/>
      <c r="R9" s="690"/>
      <c r="S9" s="719"/>
      <c r="T9" s="157"/>
    </row>
    <row r="10" spans="1:20" ht="18.75">
      <c r="A10" s="29" t="s">
        <v>88</v>
      </c>
      <c r="B10" s="183">
        <v>2296</v>
      </c>
      <c r="C10" s="73" t="s">
        <v>233</v>
      </c>
      <c r="D10" s="154" t="s">
        <v>11</v>
      </c>
      <c r="E10" s="50" t="s">
        <v>3</v>
      </c>
      <c r="F10" s="51"/>
      <c r="G10" s="1528">
        <v>8</v>
      </c>
      <c r="H10" s="1528">
        <v>8</v>
      </c>
      <c r="I10" s="1528">
        <v>14</v>
      </c>
      <c r="J10" s="1528">
        <v>0</v>
      </c>
      <c r="K10" s="1528">
        <v>0</v>
      </c>
      <c r="L10" s="1527">
        <v>0</v>
      </c>
      <c r="M10" s="1527">
        <v>0</v>
      </c>
      <c r="N10" s="1527">
        <v>0</v>
      </c>
      <c r="O10" s="187">
        <f t="shared" ref="O10" si="5">(G10*10)+(H10*10)+(I10*9)+(J10*8)+(K10*7)+(L10*6)+(M10*5)</f>
        <v>286</v>
      </c>
      <c r="P10" s="212">
        <f t="shared" ref="P10" si="6">SUM(G10:N10)</f>
        <v>30</v>
      </c>
      <c r="Q10" s="12"/>
      <c r="R10" s="690"/>
      <c r="S10" s="1378"/>
      <c r="T10" s="157"/>
    </row>
    <row r="11" spans="1:20" ht="19.5" thickBot="1">
      <c r="A11" s="29" t="s">
        <v>88</v>
      </c>
      <c r="B11" s="217">
        <v>169</v>
      </c>
      <c r="C11" s="91" t="s">
        <v>206</v>
      </c>
      <c r="D11" s="218" t="s">
        <v>7</v>
      </c>
      <c r="E11" s="92" t="s">
        <v>3</v>
      </c>
      <c r="F11" s="93" t="e">
        <f>VLOOKUP(E11,$Y$8:$Z$8,2,FALSE)</f>
        <v>#N/A</v>
      </c>
      <c r="G11" s="219">
        <v>4</v>
      </c>
      <c r="H11" s="219">
        <v>12</v>
      </c>
      <c r="I11" s="219">
        <v>7</v>
      </c>
      <c r="J11" s="219">
        <v>1</v>
      </c>
      <c r="K11" s="219"/>
      <c r="L11" s="220"/>
      <c r="M11" s="220"/>
      <c r="N11" s="221">
        <v>6</v>
      </c>
      <c r="O11" s="222">
        <f t="shared" si="4"/>
        <v>231</v>
      </c>
      <c r="P11" s="223">
        <f t="shared" si="3"/>
        <v>30</v>
      </c>
      <c r="Q11" s="150"/>
      <c r="R11" s="197" t="str">
        <f t="shared" ref="R11:R18" si="7">IF(O11&gt;296,"Yes","NO")</f>
        <v>NO</v>
      </c>
      <c r="S11" s="198" t="str">
        <f>IF(R11="yes","HM","")</f>
        <v/>
      </c>
      <c r="T11" s="157" t="str">
        <f>IF(O11=0," ",IF(P11&lt;&gt;30,"ERROR!"," "))</f>
        <v xml:space="preserve"> </v>
      </c>
    </row>
    <row r="12" spans="1:20" ht="18.75">
      <c r="A12" s="29" t="s">
        <v>88</v>
      </c>
      <c r="B12" s="196">
        <v>1798</v>
      </c>
      <c r="C12" s="64" t="s">
        <v>72</v>
      </c>
      <c r="D12" s="64" t="s">
        <v>7</v>
      </c>
      <c r="E12" s="32" t="s">
        <v>4</v>
      </c>
      <c r="F12" s="33" t="e">
        <f>VLOOKUP(E12,$Y$8:$Z$8,2,FALSE)</f>
        <v>#N/A</v>
      </c>
      <c r="G12" s="178">
        <v>3</v>
      </c>
      <c r="H12" s="178">
        <v>16</v>
      </c>
      <c r="I12" s="178">
        <v>10</v>
      </c>
      <c r="J12" s="178">
        <v>1</v>
      </c>
      <c r="K12" s="178"/>
      <c r="L12" s="179"/>
      <c r="M12" s="179"/>
      <c r="N12" s="180"/>
      <c r="O12" s="181">
        <f t="shared" si="4"/>
        <v>288</v>
      </c>
      <c r="P12" s="211">
        <f t="shared" si="3"/>
        <v>30</v>
      </c>
      <c r="Q12" s="150"/>
      <c r="R12" s="197" t="str">
        <f t="shared" si="7"/>
        <v>NO</v>
      </c>
      <c r="S12" s="136"/>
      <c r="T12" s="157"/>
    </row>
    <row r="13" spans="1:20" ht="18.75">
      <c r="A13" s="29" t="s">
        <v>88</v>
      </c>
      <c r="B13" s="183">
        <v>1764</v>
      </c>
      <c r="C13" s="73" t="s">
        <v>45</v>
      </c>
      <c r="D13" s="73" t="s">
        <v>14</v>
      </c>
      <c r="E13" s="50" t="s">
        <v>4</v>
      </c>
      <c r="F13" s="51" t="e">
        <f>VLOOKUP(E13,$Y$8:$Z$8,2,FALSE)</f>
        <v>#N/A</v>
      </c>
      <c r="G13" s="184">
        <v>1</v>
      </c>
      <c r="H13" s="184">
        <v>16</v>
      </c>
      <c r="I13" s="184">
        <v>12</v>
      </c>
      <c r="J13" s="184">
        <v>1</v>
      </c>
      <c r="K13" s="184"/>
      <c r="L13" s="185"/>
      <c r="M13" s="185"/>
      <c r="N13" s="186"/>
      <c r="O13" s="187">
        <f t="shared" si="4"/>
        <v>286</v>
      </c>
      <c r="P13" s="212">
        <f t="shared" si="3"/>
        <v>30</v>
      </c>
      <c r="Q13" s="150"/>
      <c r="R13" s="197" t="str">
        <f t="shared" si="7"/>
        <v>NO</v>
      </c>
      <c r="S13" s="198" t="str">
        <f>IF(R13="yes","HM","")</f>
        <v/>
      </c>
      <c r="T13" s="157" t="str">
        <f>IF(O13=0," ",IF(P13&lt;&gt;30,"ERROR!"," "))</f>
        <v xml:space="preserve"> </v>
      </c>
    </row>
    <row r="14" spans="1:20" ht="18.75">
      <c r="A14" s="29" t="s">
        <v>88</v>
      </c>
      <c r="B14" s="183">
        <v>2138</v>
      </c>
      <c r="C14" s="73" t="s">
        <v>56</v>
      </c>
      <c r="D14" s="73" t="s">
        <v>9</v>
      </c>
      <c r="E14" s="50" t="s">
        <v>4</v>
      </c>
      <c r="F14" s="51">
        <v>2</v>
      </c>
      <c r="G14" s="184">
        <v>2</v>
      </c>
      <c r="H14" s="184">
        <v>14</v>
      </c>
      <c r="I14" s="184">
        <v>11</v>
      </c>
      <c r="J14" s="184">
        <v>3</v>
      </c>
      <c r="K14" s="184"/>
      <c r="L14" s="185"/>
      <c r="M14" s="185"/>
      <c r="N14" s="186"/>
      <c r="O14" s="187">
        <f t="shared" si="4"/>
        <v>283</v>
      </c>
      <c r="P14" s="212">
        <f t="shared" ref="P14" si="8">SUM(G14:N14)</f>
        <v>30</v>
      </c>
      <c r="Q14" s="150"/>
      <c r="R14" s="197"/>
      <c r="S14" s="830"/>
      <c r="T14" s="157"/>
    </row>
    <row r="15" spans="1:20" ht="19.5" thickBot="1">
      <c r="A15" s="29" t="s">
        <v>88</v>
      </c>
      <c r="B15" s="217">
        <v>1569</v>
      </c>
      <c r="C15" s="91" t="s">
        <v>220</v>
      </c>
      <c r="D15" s="91" t="s">
        <v>9</v>
      </c>
      <c r="E15" s="92" t="s">
        <v>4</v>
      </c>
      <c r="F15" s="93"/>
      <c r="G15" s="219">
        <v>7</v>
      </c>
      <c r="H15" s="219">
        <v>5</v>
      </c>
      <c r="I15" s="219">
        <v>13</v>
      </c>
      <c r="J15" s="219">
        <v>5</v>
      </c>
      <c r="K15" s="219"/>
      <c r="L15" s="220"/>
      <c r="M15" s="220"/>
      <c r="N15" s="221"/>
      <c r="O15" s="222">
        <f t="shared" si="4"/>
        <v>277</v>
      </c>
      <c r="P15" s="223">
        <f t="shared" si="3"/>
        <v>30</v>
      </c>
      <c r="Q15" s="150"/>
      <c r="R15" s="197" t="str">
        <f t="shared" si="7"/>
        <v>NO</v>
      </c>
      <c r="S15" s="198" t="str">
        <f>IF(R15="yes","HM","")</f>
        <v/>
      </c>
      <c r="T15" s="157" t="str">
        <f>IF(O15=0," ",IF(P15&lt;&gt;30,"ERROR!"," "))</f>
        <v xml:space="preserve"> </v>
      </c>
    </row>
    <row r="16" spans="1:20" ht="18.75">
      <c r="A16" s="29" t="s">
        <v>88</v>
      </c>
      <c r="B16" s="224">
        <v>1314</v>
      </c>
      <c r="C16" s="40" t="s">
        <v>37</v>
      </c>
      <c r="D16" s="40" t="s">
        <v>12</v>
      </c>
      <c r="E16" s="42" t="s">
        <v>6</v>
      </c>
      <c r="F16" s="43" t="e">
        <f>VLOOKUP(E16,$Y$8:$Z$8,2,FALSE)</f>
        <v>#N/A</v>
      </c>
      <c r="G16" s="214">
        <v>2</v>
      </c>
      <c r="H16" s="214">
        <v>13</v>
      </c>
      <c r="I16" s="214">
        <v>13</v>
      </c>
      <c r="J16" s="214">
        <v>1</v>
      </c>
      <c r="K16" s="214">
        <v>1</v>
      </c>
      <c r="L16" s="215"/>
      <c r="M16" s="215"/>
      <c r="N16" s="216"/>
      <c r="O16" s="225">
        <f t="shared" si="4"/>
        <v>282</v>
      </c>
      <c r="P16" s="226">
        <f t="shared" si="3"/>
        <v>30</v>
      </c>
      <c r="Q16" s="150"/>
      <c r="R16" s="197" t="str">
        <f t="shared" si="7"/>
        <v>NO</v>
      </c>
      <c r="S16" s="198"/>
      <c r="T16" s="157"/>
    </row>
    <row r="17" spans="1:20" ht="18.75">
      <c r="A17" s="29" t="s">
        <v>88</v>
      </c>
      <c r="B17" s="183">
        <v>1477</v>
      </c>
      <c r="C17" s="73" t="s">
        <v>268</v>
      </c>
      <c r="D17" s="73" t="s">
        <v>14</v>
      </c>
      <c r="E17" s="50" t="s">
        <v>6</v>
      </c>
      <c r="F17" s="51"/>
      <c r="G17" s="904">
        <v>9</v>
      </c>
      <c r="H17" s="904">
        <v>5</v>
      </c>
      <c r="I17" s="904">
        <v>13</v>
      </c>
      <c r="J17" s="904">
        <v>3</v>
      </c>
      <c r="K17" s="904"/>
      <c r="L17" s="904"/>
      <c r="M17" s="904"/>
      <c r="N17" s="904"/>
      <c r="O17" s="187">
        <f t="shared" si="4"/>
        <v>281</v>
      </c>
      <c r="P17" s="212">
        <f t="shared" si="3"/>
        <v>30</v>
      </c>
      <c r="Q17" s="150"/>
      <c r="R17" s="197" t="str">
        <f t="shared" si="7"/>
        <v>NO</v>
      </c>
      <c r="S17" s="198" t="str">
        <f>IF(R17="yes","HM","")</f>
        <v/>
      </c>
      <c r="T17" s="157" t="str">
        <f>IF(O17=0," ",IF(P17&lt;&gt;30,"ERROR!"," "))</f>
        <v xml:space="preserve"> </v>
      </c>
    </row>
    <row r="18" spans="1:20" ht="18.75">
      <c r="A18" s="29" t="s">
        <v>88</v>
      </c>
      <c r="B18" s="183">
        <v>709</v>
      </c>
      <c r="C18" s="73" t="s">
        <v>71</v>
      </c>
      <c r="D18" s="73" t="s">
        <v>9</v>
      </c>
      <c r="E18" s="50" t="s">
        <v>6</v>
      </c>
      <c r="F18" s="51">
        <v>2</v>
      </c>
      <c r="G18" s="184">
        <v>5</v>
      </c>
      <c r="H18" s="184">
        <v>9</v>
      </c>
      <c r="I18" s="184">
        <v>13</v>
      </c>
      <c r="J18" s="184">
        <v>3</v>
      </c>
      <c r="K18" s="184"/>
      <c r="L18" s="185"/>
      <c r="M18" s="185"/>
      <c r="N18" s="186"/>
      <c r="O18" s="187">
        <f t="shared" si="4"/>
        <v>281</v>
      </c>
      <c r="P18" s="212">
        <f t="shared" si="3"/>
        <v>30</v>
      </c>
      <c r="Q18" s="150"/>
      <c r="R18" s="197" t="str">
        <f t="shared" si="7"/>
        <v>NO</v>
      </c>
      <c r="S18" s="198"/>
      <c r="T18" s="157"/>
    </row>
    <row r="19" spans="1:20" ht="18.75">
      <c r="A19" s="29" t="s">
        <v>88</v>
      </c>
      <c r="B19" s="183">
        <v>2786</v>
      </c>
      <c r="C19" s="73" t="s">
        <v>48</v>
      </c>
      <c r="D19" s="73" t="s">
        <v>14</v>
      </c>
      <c r="E19" s="50" t="s">
        <v>6</v>
      </c>
      <c r="F19" s="51" t="e">
        <f>VLOOKUP(E19,$Y$8:$Z$8,2,FALSE)</f>
        <v>#N/A</v>
      </c>
      <c r="G19" s="184">
        <v>3</v>
      </c>
      <c r="H19" s="184">
        <v>9</v>
      </c>
      <c r="I19" s="184">
        <v>15</v>
      </c>
      <c r="J19" s="184">
        <v>3</v>
      </c>
      <c r="K19" s="184"/>
      <c r="L19" s="185"/>
      <c r="M19" s="185"/>
      <c r="N19" s="186"/>
      <c r="O19" s="187">
        <f t="shared" si="4"/>
        <v>279</v>
      </c>
      <c r="P19" s="212">
        <f t="shared" si="3"/>
        <v>30</v>
      </c>
      <c r="Q19" s="156"/>
      <c r="R19" s="197" t="str">
        <f>IF(O19&gt;289,"Yes","NO")</f>
        <v>NO</v>
      </c>
      <c r="S19" s="208"/>
      <c r="T19" s="157"/>
    </row>
    <row r="20" spans="1:20" ht="18.75">
      <c r="A20" s="29" t="s">
        <v>88</v>
      </c>
      <c r="B20" s="183">
        <v>638</v>
      </c>
      <c r="C20" s="73" t="s">
        <v>270</v>
      </c>
      <c r="D20" s="73" t="s">
        <v>14</v>
      </c>
      <c r="E20" s="50" t="s">
        <v>6</v>
      </c>
      <c r="F20" s="51"/>
      <c r="G20" s="904">
        <v>5</v>
      </c>
      <c r="H20" s="904">
        <v>7</v>
      </c>
      <c r="I20" s="904">
        <v>13</v>
      </c>
      <c r="J20" s="904">
        <v>4</v>
      </c>
      <c r="K20" s="904">
        <v>1</v>
      </c>
      <c r="L20" s="904"/>
      <c r="M20" s="904"/>
      <c r="N20" s="904"/>
      <c r="O20" s="187">
        <f t="shared" si="4"/>
        <v>276</v>
      </c>
      <c r="P20" s="212">
        <f t="shared" si="3"/>
        <v>30</v>
      </c>
      <c r="Q20" s="150"/>
      <c r="R20" s="197" t="str">
        <f t="shared" ref="R20:R26" si="9">IF(O20&gt;296,"Yes","NO")</f>
        <v>NO</v>
      </c>
      <c r="S20" s="198"/>
      <c r="T20" s="157"/>
    </row>
    <row r="21" spans="1:20" ht="18.75">
      <c r="A21" s="29" t="s">
        <v>88</v>
      </c>
      <c r="B21" s="183">
        <v>676</v>
      </c>
      <c r="C21" s="73" t="s">
        <v>229</v>
      </c>
      <c r="D21" s="73" t="s">
        <v>11</v>
      </c>
      <c r="E21" s="50" t="s">
        <v>6</v>
      </c>
      <c r="F21" s="51"/>
      <c r="G21" s="904">
        <v>1</v>
      </c>
      <c r="H21" s="904">
        <v>10</v>
      </c>
      <c r="I21" s="904">
        <v>14</v>
      </c>
      <c r="J21" s="904">
        <v>5</v>
      </c>
      <c r="K21" s="904">
        <v>0</v>
      </c>
      <c r="L21" s="904">
        <v>0</v>
      </c>
      <c r="M21" s="904">
        <v>0</v>
      </c>
      <c r="N21" s="904">
        <v>0</v>
      </c>
      <c r="O21" s="187">
        <f t="shared" si="4"/>
        <v>276</v>
      </c>
      <c r="P21" s="212">
        <f t="shared" ref="P21:P22" si="10">SUM(G21:N21)</f>
        <v>30</v>
      </c>
      <c r="Q21" s="150"/>
      <c r="R21" s="197" t="str">
        <f t="shared" si="9"/>
        <v>NO</v>
      </c>
      <c r="S21" s="830"/>
      <c r="T21" s="157"/>
    </row>
    <row r="22" spans="1:20" ht="18.75">
      <c r="A22" s="29" t="s">
        <v>88</v>
      </c>
      <c r="B22" s="183">
        <v>1268</v>
      </c>
      <c r="C22" s="73" t="s">
        <v>202</v>
      </c>
      <c r="D22" s="73" t="s">
        <v>9</v>
      </c>
      <c r="E22" s="50" t="s">
        <v>6</v>
      </c>
      <c r="F22" s="51"/>
      <c r="G22" s="904">
        <v>4</v>
      </c>
      <c r="H22" s="904">
        <v>7</v>
      </c>
      <c r="I22" s="904">
        <v>12</v>
      </c>
      <c r="J22" s="904">
        <v>6</v>
      </c>
      <c r="K22" s="904">
        <v>1</v>
      </c>
      <c r="L22" s="904"/>
      <c r="M22" s="904"/>
      <c r="N22" s="904"/>
      <c r="O22" s="187">
        <f t="shared" si="4"/>
        <v>273</v>
      </c>
      <c r="P22" s="212">
        <f t="shared" si="10"/>
        <v>30</v>
      </c>
      <c r="Q22" s="150"/>
      <c r="R22" s="197" t="str">
        <f t="shared" si="9"/>
        <v>NO</v>
      </c>
      <c r="S22" s="830"/>
      <c r="T22" s="157"/>
    </row>
    <row r="23" spans="1:20" ht="19.5" thickBot="1">
      <c r="A23" s="29" t="s">
        <v>88</v>
      </c>
      <c r="B23" s="183">
        <v>2105</v>
      </c>
      <c r="C23" s="73" t="s">
        <v>227</v>
      </c>
      <c r="D23" s="73" t="s">
        <v>11</v>
      </c>
      <c r="E23" s="50" t="s">
        <v>6</v>
      </c>
      <c r="F23" s="51"/>
      <c r="G23" s="904">
        <v>6</v>
      </c>
      <c r="H23" s="904">
        <v>5</v>
      </c>
      <c r="I23" s="904">
        <v>14</v>
      </c>
      <c r="J23" s="904">
        <v>3</v>
      </c>
      <c r="K23" s="904">
        <v>1</v>
      </c>
      <c r="L23" s="904">
        <v>0</v>
      </c>
      <c r="M23" s="904">
        <v>0</v>
      </c>
      <c r="N23" s="904">
        <v>1</v>
      </c>
      <c r="O23" s="187">
        <f t="shared" si="4"/>
        <v>267</v>
      </c>
      <c r="P23" s="212">
        <f t="shared" ref="P23" si="11">SUM(G23:N23)</f>
        <v>30</v>
      </c>
      <c r="Q23" s="150"/>
      <c r="R23" s="197" t="str">
        <f t="shared" si="9"/>
        <v>NO</v>
      </c>
      <c r="S23" s="830"/>
      <c r="T23" s="157"/>
    </row>
    <row r="24" spans="1:20" ht="18.75">
      <c r="A24" s="29" t="s">
        <v>88</v>
      </c>
      <c r="B24" s="196">
        <v>1143</v>
      </c>
      <c r="C24" s="64" t="s">
        <v>59</v>
      </c>
      <c r="D24" s="177" t="s">
        <v>9</v>
      </c>
      <c r="E24" s="32" t="s">
        <v>5</v>
      </c>
      <c r="F24" s="33" t="e">
        <f>VLOOKUP(E24,$Y$8:$Z$8,2,FALSE)</f>
        <v>#N/A</v>
      </c>
      <c r="G24" s="178">
        <v>4</v>
      </c>
      <c r="H24" s="178">
        <v>12</v>
      </c>
      <c r="I24" s="178">
        <v>11</v>
      </c>
      <c r="J24" s="178">
        <v>3</v>
      </c>
      <c r="K24" s="178"/>
      <c r="L24" s="179"/>
      <c r="M24" s="179"/>
      <c r="N24" s="180"/>
      <c r="O24" s="181">
        <f t="shared" si="4"/>
        <v>283</v>
      </c>
      <c r="P24" s="211">
        <f t="shared" si="3"/>
        <v>30</v>
      </c>
      <c r="Q24" s="150"/>
      <c r="R24" s="197" t="str">
        <f t="shared" si="9"/>
        <v>NO</v>
      </c>
      <c r="S24" s="198" t="str">
        <f>IF(R24="yes","M","")</f>
        <v/>
      </c>
      <c r="T24" s="157" t="str">
        <f>IF(O24=0," ",IF(P24&lt;&gt;30,"ERROR!"," "))</f>
        <v xml:space="preserve"> </v>
      </c>
    </row>
    <row r="25" spans="1:20" ht="18.75">
      <c r="A25" s="29" t="s">
        <v>88</v>
      </c>
      <c r="B25" s="189">
        <v>1059</v>
      </c>
      <c r="C25" s="74" t="s">
        <v>232</v>
      </c>
      <c r="D25" s="154" t="s">
        <v>11</v>
      </c>
      <c r="E25" s="50" t="s">
        <v>5</v>
      </c>
      <c r="F25" s="51"/>
      <c r="G25" s="949">
        <v>7</v>
      </c>
      <c r="H25" s="949">
        <v>12</v>
      </c>
      <c r="I25" s="949">
        <v>9</v>
      </c>
      <c r="J25" s="949">
        <v>1</v>
      </c>
      <c r="K25" s="949">
        <v>0</v>
      </c>
      <c r="L25" s="949">
        <v>0</v>
      </c>
      <c r="M25" s="949">
        <v>0</v>
      </c>
      <c r="N25" s="949">
        <v>1</v>
      </c>
      <c r="O25" s="187">
        <f t="shared" si="4"/>
        <v>279</v>
      </c>
      <c r="P25" s="212">
        <f t="shared" si="3"/>
        <v>30</v>
      </c>
      <c r="Q25" s="150"/>
      <c r="R25" s="197" t="str">
        <f t="shared" si="9"/>
        <v>NO</v>
      </c>
      <c r="S25" s="198" t="str">
        <f>IF(R25="yes","M","")</f>
        <v/>
      </c>
      <c r="T25" s="157" t="str">
        <f>IF(O25=0," ",IF(P25&lt;&gt;30,"ERROR!"," "))</f>
        <v xml:space="preserve"> </v>
      </c>
    </row>
    <row r="26" spans="1:20" ht="18.75">
      <c r="A26" s="29" t="s">
        <v>88</v>
      </c>
      <c r="B26" s="189">
        <v>641</v>
      </c>
      <c r="C26" s="74" t="s">
        <v>55</v>
      </c>
      <c r="D26" s="154" t="s">
        <v>14</v>
      </c>
      <c r="E26" s="50" t="s">
        <v>5</v>
      </c>
      <c r="F26" s="51" t="e">
        <f>VLOOKUP(E26,$Y$8:$Z$8,2,FALSE)</f>
        <v>#N/A</v>
      </c>
      <c r="G26" s="184">
        <v>4</v>
      </c>
      <c r="H26" s="184">
        <v>11</v>
      </c>
      <c r="I26" s="184">
        <v>10</v>
      </c>
      <c r="J26" s="184">
        <v>4</v>
      </c>
      <c r="K26" s="184">
        <v>1</v>
      </c>
      <c r="L26" s="185"/>
      <c r="M26" s="185"/>
      <c r="N26" s="186"/>
      <c r="O26" s="187">
        <f t="shared" si="4"/>
        <v>279</v>
      </c>
      <c r="P26" s="212">
        <f t="shared" si="3"/>
        <v>30</v>
      </c>
      <c r="Q26" s="151"/>
      <c r="R26" s="197" t="str">
        <f t="shared" si="9"/>
        <v>NO</v>
      </c>
      <c r="S26" s="830"/>
      <c r="T26" s="157"/>
    </row>
    <row r="27" spans="1:20" ht="18.75">
      <c r="A27" s="29" t="s">
        <v>88</v>
      </c>
      <c r="B27" s="207">
        <v>2165</v>
      </c>
      <c r="C27" s="73" t="s">
        <v>231</v>
      </c>
      <c r="D27" s="154" t="s">
        <v>11</v>
      </c>
      <c r="E27" s="50" t="s">
        <v>5</v>
      </c>
      <c r="F27" s="51">
        <v>1</v>
      </c>
      <c r="G27" s="904">
        <v>3</v>
      </c>
      <c r="H27" s="904">
        <v>11</v>
      </c>
      <c r="I27" s="904">
        <v>7</v>
      </c>
      <c r="J27" s="904">
        <v>8</v>
      </c>
      <c r="K27" s="904">
        <v>1</v>
      </c>
      <c r="L27" s="904">
        <v>0</v>
      </c>
      <c r="M27" s="904">
        <v>0</v>
      </c>
      <c r="N27" s="904">
        <v>0</v>
      </c>
      <c r="O27" s="187">
        <f t="shared" si="4"/>
        <v>274</v>
      </c>
      <c r="P27" s="212">
        <f t="shared" si="3"/>
        <v>30</v>
      </c>
      <c r="Q27" s="151"/>
      <c r="R27" s="197" t="str">
        <f t="shared" ref="R27:R36" si="12">IF(O27&gt;293,"Yes","NO")</f>
        <v>NO</v>
      </c>
      <c r="S27" s="198" t="str">
        <f>IF(R27="yes","M","")</f>
        <v/>
      </c>
      <c r="T27" s="157" t="str">
        <f>IF(O27=0," ",IF(P27&lt;&gt;30,"ERROR!"," "))</f>
        <v xml:space="preserve"> </v>
      </c>
    </row>
    <row r="28" spans="1:20" ht="18.75">
      <c r="A28" s="29" t="s">
        <v>88</v>
      </c>
      <c r="B28" s="207">
        <v>1809</v>
      </c>
      <c r="C28" s="73" t="s">
        <v>61</v>
      </c>
      <c r="D28" s="154" t="s">
        <v>9</v>
      </c>
      <c r="E28" s="50" t="s">
        <v>5</v>
      </c>
      <c r="F28" s="51">
        <v>1</v>
      </c>
      <c r="G28" s="184">
        <v>2</v>
      </c>
      <c r="H28" s="184">
        <v>7</v>
      </c>
      <c r="I28" s="184">
        <v>16</v>
      </c>
      <c r="J28" s="184">
        <v>4</v>
      </c>
      <c r="K28" s="184">
        <v>1</v>
      </c>
      <c r="L28" s="185"/>
      <c r="M28" s="185"/>
      <c r="N28" s="186"/>
      <c r="O28" s="187">
        <f t="shared" si="4"/>
        <v>273</v>
      </c>
      <c r="P28" s="212">
        <f t="shared" si="3"/>
        <v>30</v>
      </c>
      <c r="Q28" s="151"/>
      <c r="R28" s="197" t="str">
        <f t="shared" si="12"/>
        <v>NO</v>
      </c>
      <c r="S28" s="198" t="str">
        <f>IF(R28="yes","M","")</f>
        <v/>
      </c>
      <c r="T28" s="157" t="str">
        <f>IF(O28=0," ",IF(P28&lt;&gt;30,"ERROR!"," "))</f>
        <v xml:space="preserve"> </v>
      </c>
    </row>
    <row r="29" spans="1:20" ht="18.75">
      <c r="A29" s="29" t="s">
        <v>88</v>
      </c>
      <c r="B29" s="207">
        <v>1264</v>
      </c>
      <c r="C29" s="73" t="s">
        <v>178</v>
      </c>
      <c r="D29" s="154" t="s">
        <v>7</v>
      </c>
      <c r="E29" s="50" t="s">
        <v>5</v>
      </c>
      <c r="F29" s="51" t="e">
        <f>VLOOKUP(E29,$Y$8:$Z$8,2,FALSE)</f>
        <v>#N/A</v>
      </c>
      <c r="G29" s="214">
        <v>4</v>
      </c>
      <c r="H29" s="214">
        <v>5</v>
      </c>
      <c r="I29" s="214">
        <v>14</v>
      </c>
      <c r="J29" s="214">
        <v>4</v>
      </c>
      <c r="K29" s="214">
        <v>3</v>
      </c>
      <c r="L29" s="215"/>
      <c r="M29" s="215"/>
      <c r="N29" s="216"/>
      <c r="O29" s="187">
        <f t="shared" si="4"/>
        <v>269</v>
      </c>
      <c r="P29" s="212">
        <f t="shared" si="3"/>
        <v>30</v>
      </c>
      <c r="Q29" s="151"/>
      <c r="R29" s="197" t="str">
        <f t="shared" si="12"/>
        <v>NO</v>
      </c>
      <c r="S29" s="198"/>
      <c r="T29" s="157"/>
    </row>
    <row r="30" spans="1:20" ht="18.75">
      <c r="A30" s="29" t="s">
        <v>88</v>
      </c>
      <c r="B30" s="207">
        <v>2521</v>
      </c>
      <c r="C30" s="73" t="s">
        <v>211</v>
      </c>
      <c r="D30" s="154" t="s">
        <v>9</v>
      </c>
      <c r="E30" s="50" t="s">
        <v>5</v>
      </c>
      <c r="F30" s="51">
        <v>1</v>
      </c>
      <c r="G30" s="184">
        <v>1</v>
      </c>
      <c r="H30" s="184">
        <v>10</v>
      </c>
      <c r="I30" s="184">
        <v>8</v>
      </c>
      <c r="J30" s="184">
        <v>8</v>
      </c>
      <c r="K30" s="184">
        <v>3</v>
      </c>
      <c r="L30" s="185"/>
      <c r="M30" s="185"/>
      <c r="N30" s="186"/>
      <c r="O30" s="187">
        <f t="shared" si="4"/>
        <v>267</v>
      </c>
      <c r="P30" s="212">
        <f t="shared" si="3"/>
        <v>30</v>
      </c>
      <c r="Q30" s="151"/>
      <c r="R30" s="197" t="str">
        <f t="shared" si="12"/>
        <v>NO</v>
      </c>
      <c r="S30" s="198"/>
      <c r="T30" s="157"/>
    </row>
    <row r="31" spans="1:20" ht="18.75">
      <c r="A31" s="29" t="s">
        <v>88</v>
      </c>
      <c r="B31" s="183">
        <v>1952</v>
      </c>
      <c r="C31" s="73" t="s">
        <v>216</v>
      </c>
      <c r="D31" s="73" t="s">
        <v>7</v>
      </c>
      <c r="E31" s="50" t="s">
        <v>5</v>
      </c>
      <c r="F31" s="51" t="e">
        <f>VLOOKUP(E31,$Y$8:$Z$8,2,FALSE)</f>
        <v>#N/A</v>
      </c>
      <c r="G31" s="184">
        <v>2</v>
      </c>
      <c r="H31" s="184">
        <v>6</v>
      </c>
      <c r="I31" s="184">
        <v>10</v>
      </c>
      <c r="J31" s="184">
        <v>10</v>
      </c>
      <c r="K31" s="184">
        <v>2</v>
      </c>
      <c r="L31" s="185"/>
      <c r="M31" s="185"/>
      <c r="N31" s="186"/>
      <c r="O31" s="187">
        <f t="shared" si="4"/>
        <v>264</v>
      </c>
      <c r="P31" s="212">
        <f t="shared" si="3"/>
        <v>30</v>
      </c>
      <c r="Q31" s="150"/>
      <c r="R31" s="197" t="str">
        <f t="shared" si="12"/>
        <v>NO</v>
      </c>
      <c r="S31" s="198" t="str">
        <f>IF(R31="yes","M","")</f>
        <v/>
      </c>
      <c r="T31" s="157" t="str">
        <f>IF(O31=0," ",IF(P31&lt;&gt;30,"ERROR!"," "))</f>
        <v xml:space="preserve"> </v>
      </c>
    </row>
    <row r="32" spans="1:20" ht="18.75">
      <c r="A32" s="29" t="s">
        <v>88</v>
      </c>
      <c r="B32" s="183">
        <v>1982</v>
      </c>
      <c r="C32" s="73" t="s">
        <v>77</v>
      </c>
      <c r="D32" s="154" t="s">
        <v>14</v>
      </c>
      <c r="E32" s="50" t="s">
        <v>5</v>
      </c>
      <c r="F32" s="51" t="e">
        <f>VLOOKUP(E32,$Y$8:$Z$8,2,FALSE)</f>
        <v>#N/A</v>
      </c>
      <c r="G32" s="184">
        <v>5</v>
      </c>
      <c r="H32" s="184">
        <v>4</v>
      </c>
      <c r="I32" s="184">
        <v>11</v>
      </c>
      <c r="J32" s="184">
        <v>7</v>
      </c>
      <c r="K32" s="184">
        <v>2</v>
      </c>
      <c r="L32" s="185"/>
      <c r="M32" s="185"/>
      <c r="N32" s="186">
        <v>1</v>
      </c>
      <c r="O32" s="187">
        <f t="shared" si="4"/>
        <v>259</v>
      </c>
      <c r="P32" s="212">
        <f t="shared" si="3"/>
        <v>30</v>
      </c>
      <c r="Q32" s="150"/>
      <c r="R32" s="197" t="str">
        <f t="shared" si="12"/>
        <v>NO</v>
      </c>
      <c r="S32" s="198" t="str">
        <f>IF(R32="yes","M","")</f>
        <v/>
      </c>
      <c r="T32" s="157" t="str">
        <f>IF(O32=0," ",IF(P32&lt;&gt;30,"ERROR!"," "))</f>
        <v xml:space="preserve"> </v>
      </c>
    </row>
    <row r="33" spans="1:20" ht="18.75">
      <c r="A33" s="29" t="s">
        <v>88</v>
      </c>
      <c r="B33" s="183">
        <v>2337</v>
      </c>
      <c r="C33" s="73" t="s">
        <v>46</v>
      </c>
      <c r="D33" s="154" t="s">
        <v>11</v>
      </c>
      <c r="E33" s="50" t="s">
        <v>5</v>
      </c>
      <c r="F33" s="51" t="e">
        <f>VLOOKUP(E33,$Y$8:$Z$8,2,FALSE)</f>
        <v>#N/A</v>
      </c>
      <c r="G33" s="949">
        <v>2</v>
      </c>
      <c r="H33" s="949">
        <v>3</v>
      </c>
      <c r="I33" s="949">
        <v>13</v>
      </c>
      <c r="J33" s="949">
        <v>8</v>
      </c>
      <c r="K33" s="949">
        <v>4</v>
      </c>
      <c r="L33" s="949">
        <v>0</v>
      </c>
      <c r="M33" s="949">
        <v>0</v>
      </c>
      <c r="N33" s="949">
        <v>0</v>
      </c>
      <c r="O33" s="187">
        <f t="shared" si="4"/>
        <v>259</v>
      </c>
      <c r="P33" s="212">
        <f t="shared" si="3"/>
        <v>30</v>
      </c>
      <c r="Q33" s="150"/>
      <c r="R33" s="197" t="str">
        <f t="shared" si="12"/>
        <v>NO</v>
      </c>
      <c r="S33" s="198" t="str">
        <f>IF(R33="yes","M","")</f>
        <v/>
      </c>
      <c r="T33" s="157" t="str">
        <f>IF(O33=0," ",IF(P33&lt;&gt;30,"ERROR!"," "))</f>
        <v xml:space="preserve"> </v>
      </c>
    </row>
    <row r="34" spans="1:20" ht="18.75">
      <c r="A34" s="29" t="s">
        <v>88</v>
      </c>
      <c r="B34" s="207">
        <v>1052</v>
      </c>
      <c r="C34" s="73" t="s">
        <v>75</v>
      </c>
      <c r="D34" s="154" t="s">
        <v>9</v>
      </c>
      <c r="E34" s="50" t="s">
        <v>5</v>
      </c>
      <c r="F34" s="51" t="e">
        <f>VLOOKUP(E34,#REF!,2,FALSE)</f>
        <v>#REF!</v>
      </c>
      <c r="G34" s="184">
        <v>2</v>
      </c>
      <c r="H34" s="184">
        <v>1</v>
      </c>
      <c r="I34" s="184">
        <v>15</v>
      </c>
      <c r="J34" s="184">
        <v>7</v>
      </c>
      <c r="K34" s="184">
        <v>4</v>
      </c>
      <c r="L34" s="185"/>
      <c r="M34" s="185">
        <v>1</v>
      </c>
      <c r="N34" s="186"/>
      <c r="O34" s="187">
        <f t="shared" si="4"/>
        <v>254</v>
      </c>
      <c r="P34" s="212">
        <f t="shared" si="3"/>
        <v>30</v>
      </c>
      <c r="Q34" s="150"/>
      <c r="R34" s="197" t="str">
        <f t="shared" si="12"/>
        <v>NO</v>
      </c>
      <c r="S34" s="204"/>
      <c r="T34" s="157"/>
    </row>
    <row r="35" spans="1:20" ht="18.75">
      <c r="A35" s="29" t="s">
        <v>88</v>
      </c>
      <c r="B35" s="183">
        <v>2499</v>
      </c>
      <c r="C35" s="73" t="s">
        <v>269</v>
      </c>
      <c r="D35" s="154" t="s">
        <v>14</v>
      </c>
      <c r="E35" s="50" t="s">
        <v>5</v>
      </c>
      <c r="F35" s="51"/>
      <c r="G35" s="184">
        <v>2</v>
      </c>
      <c r="H35" s="184">
        <v>6</v>
      </c>
      <c r="I35" s="184">
        <v>10</v>
      </c>
      <c r="J35" s="184">
        <v>6</v>
      </c>
      <c r="K35" s="184">
        <v>5</v>
      </c>
      <c r="L35" s="185"/>
      <c r="M35" s="185"/>
      <c r="N35" s="186">
        <v>1</v>
      </c>
      <c r="O35" s="187">
        <f t="shared" si="4"/>
        <v>253</v>
      </c>
      <c r="P35" s="212">
        <f t="shared" si="3"/>
        <v>30</v>
      </c>
      <c r="Q35" s="151"/>
      <c r="R35" s="202" t="str">
        <f t="shared" si="12"/>
        <v>NO</v>
      </c>
      <c r="S35" s="205" t="str">
        <f>IF(R35="yes","M","")</f>
        <v/>
      </c>
      <c r="T35" s="88" t="str">
        <f t="shared" ref="T35:T36" si="13">IF(O35=0," ",IF(P35&lt;&gt;30,"ERROR!"," "))</f>
        <v xml:space="preserve"> </v>
      </c>
    </row>
    <row r="36" spans="1:20" ht="18.75">
      <c r="A36" s="29" t="s">
        <v>88</v>
      </c>
      <c r="B36" s="183">
        <v>1687</v>
      </c>
      <c r="C36" s="73" t="s">
        <v>230</v>
      </c>
      <c r="D36" s="73" t="s">
        <v>11</v>
      </c>
      <c r="E36" s="50" t="s">
        <v>5</v>
      </c>
      <c r="F36" s="51"/>
      <c r="G36" s="904">
        <v>1</v>
      </c>
      <c r="H36" s="904">
        <v>4</v>
      </c>
      <c r="I36" s="904">
        <v>9</v>
      </c>
      <c r="J36" s="904">
        <v>9</v>
      </c>
      <c r="K36" s="904">
        <v>3</v>
      </c>
      <c r="L36" s="904">
        <v>4</v>
      </c>
      <c r="M36" s="904">
        <v>0</v>
      </c>
      <c r="N36" s="904">
        <v>0</v>
      </c>
      <c r="O36" s="187">
        <f t="shared" si="4"/>
        <v>248</v>
      </c>
      <c r="P36" s="212">
        <f t="shared" si="3"/>
        <v>30</v>
      </c>
      <c r="Q36" s="151"/>
      <c r="R36" s="202" t="str">
        <f t="shared" si="12"/>
        <v>NO</v>
      </c>
      <c r="S36" s="205" t="str">
        <f>IF(R36="yes","M","")</f>
        <v/>
      </c>
      <c r="T36" s="88" t="str">
        <f t="shared" si="13"/>
        <v xml:space="preserve"> </v>
      </c>
    </row>
    <row r="37" spans="1:20" ht="18.75">
      <c r="A37" s="29" t="s">
        <v>88</v>
      </c>
      <c r="B37" s="207">
        <v>1850</v>
      </c>
      <c r="C37" s="73" t="s">
        <v>200</v>
      </c>
      <c r="D37" s="154" t="s">
        <v>9</v>
      </c>
      <c r="E37" s="50" t="s">
        <v>5</v>
      </c>
      <c r="F37" s="51"/>
      <c r="G37" s="184">
        <v>0</v>
      </c>
      <c r="H37" s="184">
        <v>5</v>
      </c>
      <c r="I37" s="184">
        <v>13</v>
      </c>
      <c r="J37" s="184">
        <v>7</v>
      </c>
      <c r="K37" s="184">
        <v>3</v>
      </c>
      <c r="L37" s="185"/>
      <c r="M37" s="185"/>
      <c r="N37" s="186">
        <v>2</v>
      </c>
      <c r="O37" s="187">
        <f t="shared" si="4"/>
        <v>244</v>
      </c>
      <c r="P37" s="212">
        <f t="shared" ref="P37:P41" si="14">SUM(G37:N37)</f>
        <v>30</v>
      </c>
      <c r="Q37" s="156"/>
      <c r="R37" s="197" t="str">
        <f t="shared" ref="R37:R41" si="15">IF(O37&gt;289,"Yes","NO")</f>
        <v>NO</v>
      </c>
      <c r="S37" s="208"/>
      <c r="T37" s="157"/>
    </row>
    <row r="38" spans="1:20" ht="18.75">
      <c r="A38" s="29" t="s">
        <v>88</v>
      </c>
      <c r="B38" s="207">
        <v>1172</v>
      </c>
      <c r="C38" s="73" t="s">
        <v>248</v>
      </c>
      <c r="D38" s="154" t="s">
        <v>7</v>
      </c>
      <c r="E38" s="50" t="s">
        <v>5</v>
      </c>
      <c r="F38" s="51" t="e">
        <f>VLOOKUP(E38,#REF!,2,FALSE)</f>
        <v>#REF!</v>
      </c>
      <c r="G38" s="184">
        <v>2</v>
      </c>
      <c r="H38" s="184">
        <v>7</v>
      </c>
      <c r="I38" s="184">
        <v>11</v>
      </c>
      <c r="J38" s="184">
        <v>3</v>
      </c>
      <c r="K38" s="184">
        <v>2</v>
      </c>
      <c r="L38" s="185">
        <v>1</v>
      </c>
      <c r="M38" s="185"/>
      <c r="N38" s="186">
        <v>4</v>
      </c>
      <c r="O38" s="187">
        <f t="shared" si="4"/>
        <v>233</v>
      </c>
      <c r="P38" s="212">
        <f t="shared" si="14"/>
        <v>30</v>
      </c>
      <c r="Q38" s="156"/>
      <c r="R38" s="197" t="str">
        <f t="shared" si="15"/>
        <v>NO</v>
      </c>
      <c r="S38" s="208"/>
      <c r="T38" s="157"/>
    </row>
    <row r="39" spans="1:20" ht="18.75">
      <c r="A39" s="29" t="s">
        <v>88</v>
      </c>
      <c r="B39" s="207">
        <v>1050</v>
      </c>
      <c r="C39" s="73" t="s">
        <v>249</v>
      </c>
      <c r="D39" s="154" t="s">
        <v>9</v>
      </c>
      <c r="E39" s="50" t="s">
        <v>5</v>
      </c>
      <c r="F39" s="51" t="e">
        <f>VLOOKUP(E39,$Y$8:$Z$8,2,FALSE)</f>
        <v>#N/A</v>
      </c>
      <c r="G39" s="184">
        <v>0</v>
      </c>
      <c r="H39" s="184">
        <v>3</v>
      </c>
      <c r="I39" s="184">
        <v>9</v>
      </c>
      <c r="J39" s="184">
        <v>10</v>
      </c>
      <c r="K39" s="184">
        <v>3</v>
      </c>
      <c r="L39" s="185">
        <v>3</v>
      </c>
      <c r="M39" s="185"/>
      <c r="N39" s="186">
        <v>2</v>
      </c>
      <c r="O39" s="187">
        <f t="shared" si="4"/>
        <v>230</v>
      </c>
      <c r="P39" s="212">
        <f t="shared" si="14"/>
        <v>30</v>
      </c>
      <c r="Q39" s="156"/>
      <c r="R39" s="197" t="str">
        <f t="shared" si="15"/>
        <v>NO</v>
      </c>
      <c r="S39" s="208"/>
      <c r="T39" s="157"/>
    </row>
    <row r="40" spans="1:20" ht="18.75">
      <c r="A40" s="29" t="s">
        <v>88</v>
      </c>
      <c r="B40" s="207">
        <v>2144</v>
      </c>
      <c r="C40" s="73" t="s">
        <v>82</v>
      </c>
      <c r="D40" s="154" t="s">
        <v>14</v>
      </c>
      <c r="E40" s="50" t="s">
        <v>5</v>
      </c>
      <c r="F40" s="51">
        <v>1</v>
      </c>
      <c r="G40" s="184">
        <v>1</v>
      </c>
      <c r="H40" s="184">
        <v>2</v>
      </c>
      <c r="I40" s="184">
        <v>7</v>
      </c>
      <c r="J40" s="184">
        <v>5</v>
      </c>
      <c r="K40" s="184">
        <v>5</v>
      </c>
      <c r="L40" s="185">
        <v>7</v>
      </c>
      <c r="M40" s="185"/>
      <c r="N40" s="186">
        <v>3</v>
      </c>
      <c r="O40" s="187">
        <f t="shared" si="4"/>
        <v>210</v>
      </c>
      <c r="P40" s="212">
        <f t="shared" ref="P40" si="16">SUM(G40:N40)</f>
        <v>30</v>
      </c>
      <c r="Q40" s="832"/>
      <c r="R40" s="197"/>
      <c r="S40" s="208"/>
      <c r="T40" s="157"/>
    </row>
    <row r="41" spans="1:20" ht="18.75">
      <c r="A41" s="29" t="s">
        <v>88</v>
      </c>
      <c r="B41" s="183">
        <v>168</v>
      </c>
      <c r="C41" s="73" t="s">
        <v>83</v>
      </c>
      <c r="D41" s="154" t="s">
        <v>7</v>
      </c>
      <c r="E41" s="50" t="s">
        <v>5</v>
      </c>
      <c r="F41" s="51" t="e">
        <f>VLOOKUP(E41,$Y$8:$Z$8,2,FALSE)</f>
        <v>#N/A</v>
      </c>
      <c r="G41" s="184">
        <v>0</v>
      </c>
      <c r="H41" s="184">
        <v>2</v>
      </c>
      <c r="I41" s="184">
        <v>4</v>
      </c>
      <c r="J41" s="184">
        <v>8</v>
      </c>
      <c r="K41" s="184">
        <v>8</v>
      </c>
      <c r="L41" s="185">
        <v>3</v>
      </c>
      <c r="M41" s="185">
        <v>1</v>
      </c>
      <c r="N41" s="186">
        <v>4</v>
      </c>
      <c r="O41" s="187">
        <f t="shared" si="4"/>
        <v>199</v>
      </c>
      <c r="P41" s="212">
        <f t="shared" si="14"/>
        <v>30</v>
      </c>
      <c r="Q41" s="156"/>
      <c r="R41" s="197" t="str">
        <f t="shared" si="15"/>
        <v>NO</v>
      </c>
      <c r="S41" s="208"/>
      <c r="T41" s="157"/>
    </row>
    <row r="42" spans="1:20" ht="19.5" thickBot="1">
      <c r="A42" s="3"/>
      <c r="B42" s="231">
        <f>COUNT(B8:B41)</f>
        <v>34</v>
      </c>
      <c r="C42" s="1433" t="s">
        <v>85</v>
      </c>
      <c r="D42" s="1434"/>
      <c r="E42" s="1435" t="s">
        <v>86</v>
      </c>
      <c r="F42" s="1436"/>
      <c r="G42" s="1436"/>
      <c r="H42" s="1436"/>
      <c r="I42" s="1436"/>
      <c r="J42" s="1436"/>
      <c r="K42" s="1436"/>
      <c r="L42" s="1436"/>
      <c r="M42" s="1436"/>
      <c r="N42" s="1436"/>
      <c r="O42" s="1436"/>
      <c r="P42" s="1437"/>
      <c r="Q42" s="12"/>
      <c r="R42" s="12"/>
      <c r="S42" s="12"/>
      <c r="T42" s="5"/>
    </row>
  </sheetData>
  <sortState ref="B22:O39">
    <sortCondition descending="1" ref="O22"/>
  </sortState>
  <mergeCells count="5">
    <mergeCell ref="A1:S1"/>
    <mergeCell ref="B3:S3"/>
    <mergeCell ref="C5:O5"/>
    <mergeCell ref="C42:D42"/>
    <mergeCell ref="E42:P4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"/>
  <sheetViews>
    <sheetView topLeftCell="A10" workbookViewId="0">
      <selection activeCell="R22" sqref="R22"/>
    </sheetView>
  </sheetViews>
  <sheetFormatPr defaultRowHeight="15"/>
  <cols>
    <col min="1" max="1" width="6.7109375" customWidth="1"/>
    <col min="2" max="2" width="7.7109375" customWidth="1"/>
    <col min="3" max="3" width="21.5703125" customWidth="1"/>
    <col min="6" max="6" width="0" hidden="1" customWidth="1"/>
  </cols>
  <sheetData>
    <row r="1" spans="1:20" ht="15.75" thickBot="1"/>
    <row r="2" spans="1:20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1"/>
      <c r="P2" s="765"/>
      <c r="Q2" s="765"/>
      <c r="R2" s="765"/>
      <c r="S2" s="765"/>
      <c r="T2" s="232"/>
    </row>
    <row r="3" spans="1:20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  <c r="T3" s="12"/>
    </row>
    <row r="4" spans="1:20" ht="24" thickBot="1">
      <c r="A4" s="1422" t="s">
        <v>16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4"/>
      <c r="P4" s="765"/>
      <c r="Q4" s="765"/>
      <c r="R4" s="765"/>
      <c r="S4" s="765"/>
      <c r="T4" s="13"/>
    </row>
    <row r="5" spans="1:20" ht="16.5" thickBot="1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10"/>
      <c r="P5" s="11"/>
      <c r="Q5" s="12"/>
      <c r="R5" s="12"/>
      <c r="S5" s="12"/>
      <c r="T5" s="12"/>
    </row>
    <row r="6" spans="1:20" ht="27" thickBot="1">
      <c r="A6" s="3"/>
      <c r="B6" s="4"/>
      <c r="C6" s="1452" t="s">
        <v>90</v>
      </c>
      <c r="D6" s="1453"/>
      <c r="E6" s="1453"/>
      <c r="F6" s="1453"/>
      <c r="G6" s="1453"/>
      <c r="H6" s="1453"/>
      <c r="I6" s="1453"/>
      <c r="J6" s="1453"/>
      <c r="K6" s="1453"/>
      <c r="L6" s="1453"/>
      <c r="M6" s="1453"/>
      <c r="N6" s="1453"/>
      <c r="O6" s="1454"/>
      <c r="P6" s="11"/>
      <c r="Q6" s="12"/>
      <c r="R6" s="12"/>
      <c r="S6" s="12"/>
      <c r="T6" s="5"/>
    </row>
    <row r="7" spans="1:20" ht="32.25" thickBot="1">
      <c r="A7" s="3"/>
      <c r="B7" s="165" t="s">
        <v>18</v>
      </c>
      <c r="C7" s="19" t="s">
        <v>19</v>
      </c>
      <c r="D7" s="233" t="s">
        <v>20</v>
      </c>
      <c r="E7" s="234" t="s">
        <v>21</v>
      </c>
      <c r="F7" s="235"/>
      <c r="G7" s="167" t="s">
        <v>22</v>
      </c>
      <c r="H7" s="168">
        <v>10</v>
      </c>
      <c r="I7" s="168">
        <v>9</v>
      </c>
      <c r="J7" s="168">
        <v>8</v>
      </c>
      <c r="K7" s="168">
        <v>7</v>
      </c>
      <c r="L7" s="169">
        <v>6</v>
      </c>
      <c r="M7" s="170">
        <v>5</v>
      </c>
      <c r="N7" s="236">
        <v>0</v>
      </c>
      <c r="O7" s="172" t="s">
        <v>23</v>
      </c>
      <c r="P7" s="173" t="s">
        <v>39</v>
      </c>
      <c r="Q7" s="539"/>
      <c r="R7" s="712"/>
      <c r="S7" s="761"/>
      <c r="T7" s="762"/>
    </row>
    <row r="8" spans="1:20" ht="18.75">
      <c r="A8" s="29" t="s">
        <v>91</v>
      </c>
      <c r="B8" s="196">
        <v>786</v>
      </c>
      <c r="C8" s="64" t="s">
        <v>72</v>
      </c>
      <c r="D8" s="64" t="s">
        <v>7</v>
      </c>
      <c r="E8" s="32" t="s">
        <v>10</v>
      </c>
      <c r="F8" s="33"/>
      <c r="G8" s="178">
        <v>10</v>
      </c>
      <c r="H8" s="178">
        <v>9</v>
      </c>
      <c r="I8" s="178">
        <v>9</v>
      </c>
      <c r="J8" s="178">
        <v>1</v>
      </c>
      <c r="K8" s="178">
        <v>1</v>
      </c>
      <c r="L8" s="237"/>
      <c r="M8" s="238"/>
      <c r="N8" s="239"/>
      <c r="O8" s="240">
        <f t="shared" ref="O8:O15" si="0">(G8*10)+(H8*10)+(I8*9)+(J8*8)+(K8*7)+(L8*6)+(M8*5)</f>
        <v>286</v>
      </c>
      <c r="P8" s="276">
        <f>SUM(G8:N8)</f>
        <v>30</v>
      </c>
      <c r="Q8" s="539"/>
      <c r="R8" s="1455"/>
      <c r="S8" s="1455"/>
      <c r="T8" s="763"/>
    </row>
    <row r="9" spans="1:20" ht="18.75">
      <c r="A9" s="29" t="s">
        <v>91</v>
      </c>
      <c r="B9" s="183">
        <v>638</v>
      </c>
      <c r="C9" s="73" t="s">
        <v>270</v>
      </c>
      <c r="D9" s="154" t="s">
        <v>14</v>
      </c>
      <c r="E9" s="50" t="s">
        <v>10</v>
      </c>
      <c r="F9" s="51"/>
      <c r="G9" s="184">
        <v>8</v>
      </c>
      <c r="H9" s="184">
        <v>6</v>
      </c>
      <c r="I9" s="184">
        <v>12</v>
      </c>
      <c r="J9" s="184">
        <v>3</v>
      </c>
      <c r="K9" s="184">
        <v>1</v>
      </c>
      <c r="L9" s="243"/>
      <c r="M9" s="244"/>
      <c r="N9" s="245"/>
      <c r="O9" s="246">
        <f t="shared" si="0"/>
        <v>279</v>
      </c>
      <c r="P9" s="276">
        <f t="shared" ref="P9" si="1">SUM(G9:N9)</f>
        <v>30</v>
      </c>
      <c r="Q9" s="539"/>
      <c r="R9" s="1455"/>
      <c r="S9" s="1455"/>
      <c r="T9" s="763"/>
    </row>
    <row r="10" spans="1:20" ht="18.75">
      <c r="A10" s="29" t="s">
        <v>91</v>
      </c>
      <c r="B10" s="183">
        <v>1952</v>
      </c>
      <c r="C10" s="73" t="s">
        <v>216</v>
      </c>
      <c r="D10" s="154" t="s">
        <v>7</v>
      </c>
      <c r="E10" s="50" t="s">
        <v>10</v>
      </c>
      <c r="F10" s="51"/>
      <c r="G10" s="184">
        <v>4</v>
      </c>
      <c r="H10" s="184">
        <v>9</v>
      </c>
      <c r="I10" s="184">
        <v>10</v>
      </c>
      <c r="J10" s="184">
        <v>4</v>
      </c>
      <c r="K10" s="184">
        <v>3</v>
      </c>
      <c r="L10" s="243"/>
      <c r="M10" s="244"/>
      <c r="N10" s="245"/>
      <c r="O10" s="246">
        <f t="shared" si="0"/>
        <v>273</v>
      </c>
      <c r="P10" s="276">
        <f t="shared" ref="P10" si="2">SUM(G10:N10)</f>
        <v>30</v>
      </c>
      <c r="Q10" s="539"/>
      <c r="R10" s="1455"/>
      <c r="S10" s="1455"/>
      <c r="T10" s="763"/>
    </row>
    <row r="11" spans="1:20" ht="18.75">
      <c r="A11" s="29" t="s">
        <v>91</v>
      </c>
      <c r="B11" s="183">
        <v>1786</v>
      </c>
      <c r="C11" s="73" t="s">
        <v>37</v>
      </c>
      <c r="D11" s="154" t="s">
        <v>12</v>
      </c>
      <c r="E11" s="50" t="s">
        <v>10</v>
      </c>
      <c r="F11" s="51"/>
      <c r="G11" s="184">
        <v>3</v>
      </c>
      <c r="H11" s="184">
        <v>8</v>
      </c>
      <c r="I11" s="184">
        <v>12</v>
      </c>
      <c r="J11" s="184">
        <v>6</v>
      </c>
      <c r="K11" s="184">
        <v>1</v>
      </c>
      <c r="L11" s="243"/>
      <c r="M11" s="244"/>
      <c r="N11" s="245"/>
      <c r="O11" s="246">
        <f t="shared" si="0"/>
        <v>273</v>
      </c>
      <c r="P11" s="276">
        <f t="shared" ref="P11" si="3">SUM(G11:N11)</f>
        <v>30</v>
      </c>
      <c r="Q11" s="539"/>
      <c r="R11" s="1455"/>
      <c r="S11" s="1455"/>
      <c r="T11" s="763"/>
    </row>
    <row r="12" spans="1:20" ht="18.75">
      <c r="A12" s="29" t="s">
        <v>91</v>
      </c>
      <c r="B12" s="183">
        <v>1786</v>
      </c>
      <c r="C12" s="73" t="s">
        <v>208</v>
      </c>
      <c r="D12" s="154" t="s">
        <v>14</v>
      </c>
      <c r="E12" s="50" t="s">
        <v>10</v>
      </c>
      <c r="F12" s="51"/>
      <c r="G12" s="184">
        <v>2</v>
      </c>
      <c r="H12" s="184">
        <v>10</v>
      </c>
      <c r="I12" s="184">
        <v>15</v>
      </c>
      <c r="J12" s="184">
        <v>1</v>
      </c>
      <c r="K12" s="184"/>
      <c r="L12" s="243"/>
      <c r="M12" s="244"/>
      <c r="N12" s="245">
        <v>2</v>
      </c>
      <c r="O12" s="246">
        <f t="shared" si="0"/>
        <v>263</v>
      </c>
      <c r="P12" s="276">
        <f t="shared" ref="P12" si="4">SUM(G12:N12)</f>
        <v>30</v>
      </c>
      <c r="Q12" s="539"/>
      <c r="R12" s="1455"/>
      <c r="S12" s="1455"/>
      <c r="T12" s="763"/>
    </row>
    <row r="13" spans="1:20" ht="18.75">
      <c r="A13" s="29" t="s">
        <v>91</v>
      </c>
      <c r="B13" s="183">
        <v>1982</v>
      </c>
      <c r="C13" s="73" t="s">
        <v>77</v>
      </c>
      <c r="D13" s="154" t="s">
        <v>14</v>
      </c>
      <c r="E13" s="50" t="s">
        <v>10</v>
      </c>
      <c r="F13" s="51"/>
      <c r="G13" s="184">
        <v>1</v>
      </c>
      <c r="H13" s="184">
        <v>6</v>
      </c>
      <c r="I13" s="184">
        <v>13</v>
      </c>
      <c r="J13" s="184">
        <v>8</v>
      </c>
      <c r="K13" s="184">
        <v>1</v>
      </c>
      <c r="L13" s="243"/>
      <c r="M13" s="244"/>
      <c r="N13" s="245">
        <v>1</v>
      </c>
      <c r="O13" s="246">
        <f t="shared" si="0"/>
        <v>258</v>
      </c>
      <c r="P13" s="276">
        <f t="shared" ref="P13:P15" si="5">SUM(G13:N13)</f>
        <v>30</v>
      </c>
      <c r="Q13" s="539"/>
      <c r="R13" s="1455"/>
      <c r="S13" s="1455"/>
      <c r="T13" s="763"/>
    </row>
    <row r="14" spans="1:20" ht="18.75">
      <c r="A14" s="29" t="s">
        <v>91</v>
      </c>
      <c r="B14" s="183">
        <v>1268</v>
      </c>
      <c r="C14" s="73" t="s">
        <v>202</v>
      </c>
      <c r="D14" s="154" t="s">
        <v>9</v>
      </c>
      <c r="E14" s="50" t="s">
        <v>10</v>
      </c>
      <c r="F14" s="51"/>
      <c r="G14" s="184">
        <v>0</v>
      </c>
      <c r="H14" s="184">
        <v>8</v>
      </c>
      <c r="I14" s="184">
        <v>5</v>
      </c>
      <c r="J14" s="184">
        <v>9</v>
      </c>
      <c r="K14" s="184">
        <v>4</v>
      </c>
      <c r="L14" s="243">
        <v>1</v>
      </c>
      <c r="M14" s="244"/>
      <c r="N14" s="245">
        <v>3</v>
      </c>
      <c r="O14" s="246">
        <f t="shared" si="0"/>
        <v>231</v>
      </c>
      <c r="P14" s="276">
        <f t="shared" si="5"/>
        <v>30</v>
      </c>
      <c r="Q14" s="539"/>
      <c r="R14" s="1455"/>
      <c r="S14" s="1455"/>
      <c r="T14" s="763"/>
    </row>
    <row r="15" spans="1:20" ht="19.5" thickBot="1">
      <c r="A15" s="29" t="s">
        <v>91</v>
      </c>
      <c r="B15" s="183">
        <v>1850</v>
      </c>
      <c r="C15" s="73" t="s">
        <v>200</v>
      </c>
      <c r="D15" s="154" t="s">
        <v>9</v>
      </c>
      <c r="E15" s="50" t="s">
        <v>10</v>
      </c>
      <c r="F15" s="51"/>
      <c r="G15" s="184">
        <v>1</v>
      </c>
      <c r="H15" s="184">
        <v>4</v>
      </c>
      <c r="I15" s="184">
        <v>10</v>
      </c>
      <c r="J15" s="184">
        <v>8</v>
      </c>
      <c r="K15" s="184">
        <v>1</v>
      </c>
      <c r="L15" s="243"/>
      <c r="M15" s="244"/>
      <c r="N15" s="245">
        <v>6</v>
      </c>
      <c r="O15" s="246">
        <f t="shared" si="0"/>
        <v>211</v>
      </c>
      <c r="P15" s="276">
        <f t="shared" si="5"/>
        <v>30</v>
      </c>
      <c r="Q15" s="539"/>
      <c r="R15" s="1455"/>
      <c r="S15" s="1455"/>
      <c r="T15" s="763"/>
    </row>
    <row r="16" spans="1:20" ht="19.5" thickBot="1">
      <c r="A16" s="3"/>
      <c r="B16" s="231">
        <f>COUNT(B8:B15)</f>
        <v>8</v>
      </c>
      <c r="C16" s="1456" t="s">
        <v>32</v>
      </c>
      <c r="D16" s="1457"/>
      <c r="E16" s="1458" t="s">
        <v>86</v>
      </c>
      <c r="F16" s="1459"/>
      <c r="G16" s="1459"/>
      <c r="H16" s="1459"/>
      <c r="I16" s="1459"/>
      <c r="J16" s="1459"/>
      <c r="K16" s="1459"/>
      <c r="L16" s="1459"/>
      <c r="M16" s="1459"/>
      <c r="N16" s="1459"/>
      <c r="O16" s="1459"/>
      <c r="P16" s="1460"/>
      <c r="Q16" s="539"/>
      <c r="R16" s="539"/>
      <c r="S16" s="539"/>
      <c r="T16" s="712"/>
    </row>
    <row r="17" spans="1:20">
      <c r="Q17" s="764"/>
      <c r="R17" s="764"/>
      <c r="S17" s="764"/>
      <c r="T17" s="764"/>
    </row>
    <row r="18" spans="1:20" ht="15.75" thickBot="1">
      <c r="Q18" s="764"/>
      <c r="R18" s="764"/>
      <c r="S18" s="764"/>
      <c r="T18" s="764"/>
    </row>
    <row r="19" spans="1:20" ht="27" thickBot="1">
      <c r="A19" s="3"/>
      <c r="B19" s="4"/>
      <c r="C19" s="1415" t="s">
        <v>92</v>
      </c>
      <c r="D19" s="1416"/>
      <c r="E19" s="1416"/>
      <c r="F19" s="1416"/>
      <c r="G19" s="1416"/>
      <c r="H19" s="1416"/>
      <c r="I19" s="1416"/>
      <c r="J19" s="1416"/>
      <c r="K19" s="1416"/>
      <c r="L19" s="1417"/>
      <c r="M19" s="247"/>
      <c r="N19" s="248"/>
      <c r="O19" s="249"/>
      <c r="P19" s="11"/>
      <c r="Q19" s="539"/>
      <c r="R19" s="539"/>
      <c r="S19" s="764"/>
      <c r="T19" s="764"/>
    </row>
    <row r="20" spans="1:20" ht="32.25" thickBot="1">
      <c r="A20" s="3"/>
      <c r="B20" s="165" t="s">
        <v>18</v>
      </c>
      <c r="C20" s="19" t="s">
        <v>19</v>
      </c>
      <c r="D20" s="233" t="s">
        <v>20</v>
      </c>
      <c r="E20" s="234" t="s">
        <v>21</v>
      </c>
      <c r="F20" s="235"/>
      <c r="G20" s="250" t="s">
        <v>22</v>
      </c>
      <c r="H20" s="251">
        <v>5</v>
      </c>
      <c r="I20" s="251">
        <v>4</v>
      </c>
      <c r="J20" s="251">
        <v>3</v>
      </c>
      <c r="K20" s="252">
        <v>2</v>
      </c>
      <c r="L20" s="253">
        <v>0</v>
      </c>
      <c r="M20" s="254" t="s">
        <v>23</v>
      </c>
      <c r="N20" s="255" t="s">
        <v>93</v>
      </c>
      <c r="O20" s="256" t="s">
        <v>25</v>
      </c>
      <c r="P20" s="257" t="s">
        <v>26</v>
      </c>
      <c r="Q20" s="539"/>
      <c r="R20" s="762"/>
      <c r="S20" s="764"/>
      <c r="T20" s="764"/>
    </row>
    <row r="21" spans="1:20" ht="15.75">
      <c r="A21" s="29" t="s">
        <v>94</v>
      </c>
      <c r="B21" s="196">
        <v>1798</v>
      </c>
      <c r="C21" s="64" t="s">
        <v>72</v>
      </c>
      <c r="D21" s="64" t="s">
        <v>7</v>
      </c>
      <c r="E21" s="32" t="s">
        <v>10</v>
      </c>
      <c r="F21" s="177"/>
      <c r="G21" s="178">
        <v>2</v>
      </c>
      <c r="H21" s="178">
        <v>5</v>
      </c>
      <c r="I21" s="178">
        <v>8</v>
      </c>
      <c r="J21" s="178">
        <v>9</v>
      </c>
      <c r="K21" s="178"/>
      <c r="L21" s="258"/>
      <c r="M21" s="259">
        <f t="shared" ref="M21:M27" si="6">(G21*5)+(H21*5)+(I21*4)+(J21*3)+(K21*2)</f>
        <v>94</v>
      </c>
      <c r="N21" s="260">
        <f>SUM(G21:L21)</f>
        <v>24</v>
      </c>
      <c r="O21" s="1443"/>
      <c r="P21" s="1444"/>
      <c r="Q21" s="539"/>
      <c r="R21" s="763"/>
      <c r="S21" s="764"/>
      <c r="T21" s="764"/>
    </row>
    <row r="22" spans="1:20" ht="15.75">
      <c r="A22" s="29" t="s">
        <v>94</v>
      </c>
      <c r="B22" s="183">
        <v>638</v>
      </c>
      <c r="C22" s="74" t="s">
        <v>270</v>
      </c>
      <c r="D22" s="73" t="s">
        <v>14</v>
      </c>
      <c r="E22" s="50" t="s">
        <v>10</v>
      </c>
      <c r="F22" s="50"/>
      <c r="G22" s="184">
        <v>5</v>
      </c>
      <c r="H22" s="184">
        <v>5</v>
      </c>
      <c r="I22" s="184">
        <v>5</v>
      </c>
      <c r="J22" s="184">
        <v>5</v>
      </c>
      <c r="K22" s="184">
        <v>4</v>
      </c>
      <c r="L22" s="261"/>
      <c r="M22" s="262">
        <f t="shared" si="6"/>
        <v>93</v>
      </c>
      <c r="N22" s="263">
        <f t="shared" ref="N22:N27" si="7">SUM(G22:L22)</f>
        <v>24</v>
      </c>
      <c r="O22" s="1445"/>
      <c r="P22" s="1446"/>
      <c r="Q22" s="539"/>
      <c r="R22" s="763"/>
      <c r="S22" s="764"/>
      <c r="T22" s="764"/>
    </row>
    <row r="23" spans="1:20" ht="15.75">
      <c r="A23" s="29" t="s">
        <v>94</v>
      </c>
      <c r="B23" s="183">
        <v>1268</v>
      </c>
      <c r="C23" s="73" t="s">
        <v>95</v>
      </c>
      <c r="D23" s="154" t="s">
        <v>9</v>
      </c>
      <c r="E23" s="50" t="s">
        <v>10</v>
      </c>
      <c r="F23" s="154"/>
      <c r="G23" s="184">
        <v>0</v>
      </c>
      <c r="H23" s="184">
        <v>6</v>
      </c>
      <c r="I23" s="184">
        <v>5</v>
      </c>
      <c r="J23" s="184">
        <v>5</v>
      </c>
      <c r="K23" s="184">
        <v>7</v>
      </c>
      <c r="L23" s="261">
        <v>1</v>
      </c>
      <c r="M23" s="262">
        <f t="shared" si="6"/>
        <v>79</v>
      </c>
      <c r="N23" s="263">
        <f t="shared" ref="N23" si="8">SUM(G23:L23)</f>
        <v>24</v>
      </c>
      <c r="O23" s="1445"/>
      <c r="P23" s="1446"/>
      <c r="Q23" s="539"/>
      <c r="R23" s="763"/>
      <c r="S23" s="764"/>
      <c r="T23" s="764"/>
    </row>
    <row r="24" spans="1:20" ht="15.75">
      <c r="A24" s="29" t="s">
        <v>94</v>
      </c>
      <c r="B24" s="183">
        <v>1314</v>
      </c>
      <c r="C24" s="74" t="s">
        <v>37</v>
      </c>
      <c r="D24" s="73" t="s">
        <v>12</v>
      </c>
      <c r="E24" s="50" t="s">
        <v>10</v>
      </c>
      <c r="F24" s="50" t="s">
        <v>10</v>
      </c>
      <c r="G24" s="184">
        <v>1</v>
      </c>
      <c r="H24" s="184">
        <v>2</v>
      </c>
      <c r="I24" s="184">
        <v>6</v>
      </c>
      <c r="J24" s="184">
        <v>9</v>
      </c>
      <c r="K24" s="184">
        <v>5</v>
      </c>
      <c r="L24" s="261">
        <v>1</v>
      </c>
      <c r="M24" s="262">
        <f t="shared" si="6"/>
        <v>76</v>
      </c>
      <c r="N24" s="263">
        <f t="shared" ref="N24" si="9">SUM(G24:L24)</f>
        <v>24</v>
      </c>
      <c r="O24" s="1445"/>
      <c r="P24" s="1446"/>
      <c r="Q24" s="539"/>
      <c r="R24" s="763"/>
      <c r="S24" s="764"/>
      <c r="T24" s="764"/>
    </row>
    <row r="25" spans="1:20" ht="15.75">
      <c r="A25" s="29" t="s">
        <v>94</v>
      </c>
      <c r="B25" s="183">
        <v>1982</v>
      </c>
      <c r="C25" s="73" t="s">
        <v>77</v>
      </c>
      <c r="D25" s="154" t="s">
        <v>14</v>
      </c>
      <c r="E25" s="50" t="s">
        <v>10</v>
      </c>
      <c r="F25" s="154"/>
      <c r="G25" s="184">
        <v>1</v>
      </c>
      <c r="H25" s="184">
        <v>2</v>
      </c>
      <c r="I25" s="184">
        <v>4</v>
      </c>
      <c r="J25" s="184">
        <v>11</v>
      </c>
      <c r="K25" s="184">
        <v>6</v>
      </c>
      <c r="L25" s="261"/>
      <c r="M25" s="262">
        <f t="shared" si="6"/>
        <v>76</v>
      </c>
      <c r="N25" s="263">
        <f t="shared" si="7"/>
        <v>24</v>
      </c>
      <c r="O25" s="1445"/>
      <c r="P25" s="1446"/>
      <c r="Q25" s="539"/>
      <c r="R25" s="763"/>
      <c r="S25" s="764"/>
      <c r="T25" s="764"/>
    </row>
    <row r="26" spans="1:20" ht="15.75">
      <c r="A26" s="29" t="s">
        <v>94</v>
      </c>
      <c r="B26" s="227">
        <v>1952</v>
      </c>
      <c r="C26" s="1021" t="s">
        <v>216</v>
      </c>
      <c r="D26" s="130" t="s">
        <v>7</v>
      </c>
      <c r="E26" s="106" t="s">
        <v>10</v>
      </c>
      <c r="F26" s="230"/>
      <c r="G26" s="228"/>
      <c r="H26" s="228">
        <v>1</v>
      </c>
      <c r="I26" s="228">
        <v>6</v>
      </c>
      <c r="J26" s="228">
        <v>12</v>
      </c>
      <c r="K26" s="228">
        <v>5</v>
      </c>
      <c r="L26" s="1022"/>
      <c r="M26" s="262">
        <f t="shared" si="6"/>
        <v>75</v>
      </c>
      <c r="N26" s="263">
        <f t="shared" ref="N26" si="10">SUM(G26:L26)</f>
        <v>24</v>
      </c>
      <c r="O26" s="1445"/>
      <c r="P26" s="1446"/>
      <c r="Q26" s="539"/>
      <c r="R26" s="763"/>
      <c r="S26" s="764"/>
      <c r="T26" s="764"/>
    </row>
    <row r="27" spans="1:20" ht="16.5" thickBot="1">
      <c r="A27" s="29" t="s">
        <v>94</v>
      </c>
      <c r="B27" s="190">
        <v>1850</v>
      </c>
      <c r="C27" s="799" t="s">
        <v>200</v>
      </c>
      <c r="D27" s="111" t="s">
        <v>9</v>
      </c>
      <c r="E27" s="59" t="s">
        <v>10</v>
      </c>
      <c r="F27" s="59"/>
      <c r="G27" s="191">
        <v>0</v>
      </c>
      <c r="H27" s="191">
        <v>4</v>
      </c>
      <c r="I27" s="191">
        <v>5</v>
      </c>
      <c r="J27" s="191">
        <v>4</v>
      </c>
      <c r="K27" s="191">
        <v>9</v>
      </c>
      <c r="L27" s="264">
        <v>2</v>
      </c>
      <c r="M27" s="265">
        <f t="shared" si="6"/>
        <v>70</v>
      </c>
      <c r="N27" s="266">
        <f t="shared" si="7"/>
        <v>24</v>
      </c>
      <c r="O27" s="1447"/>
      <c r="P27" s="1448"/>
      <c r="Q27" s="539"/>
      <c r="R27" s="763"/>
      <c r="S27" s="764"/>
      <c r="T27" s="764"/>
    </row>
    <row r="28" spans="1:20" ht="19.5" thickBot="1">
      <c r="A28" s="5"/>
      <c r="B28" s="231">
        <f>COUNT(B21:B27)</f>
        <v>7</v>
      </c>
      <c r="C28" s="1412" t="s">
        <v>32</v>
      </c>
      <c r="D28" s="1413"/>
      <c r="E28" s="1449" t="s">
        <v>96</v>
      </c>
      <c r="F28" s="1450"/>
      <c r="G28" s="1450"/>
      <c r="H28" s="1450"/>
      <c r="I28" s="1450"/>
      <c r="J28" s="1450"/>
      <c r="K28" s="1450"/>
      <c r="L28" s="1450"/>
      <c r="M28" s="1450"/>
      <c r="N28" s="1450"/>
      <c r="O28" s="1450"/>
      <c r="P28" s="1451"/>
      <c r="Q28" s="712"/>
      <c r="R28" s="712"/>
      <c r="S28" s="764"/>
      <c r="T28" s="764"/>
    </row>
    <row r="29" spans="1:20" ht="15.75">
      <c r="A29" s="3"/>
      <c r="B29" s="4"/>
      <c r="C29" s="5"/>
      <c r="D29" s="5"/>
      <c r="E29" s="6"/>
      <c r="F29" s="5"/>
      <c r="G29" s="7"/>
      <c r="H29" s="7"/>
      <c r="I29" s="7"/>
      <c r="J29" s="7"/>
      <c r="K29" s="7"/>
      <c r="L29" s="8"/>
      <c r="M29" s="9"/>
      <c r="N29" s="8"/>
      <c r="O29" s="10"/>
      <c r="P29" s="11"/>
      <c r="Q29" s="539"/>
      <c r="R29" s="539"/>
      <c r="S29" s="764"/>
      <c r="T29" s="764"/>
    </row>
    <row r="30" spans="1:20">
      <c r="Q30" s="538"/>
      <c r="R30" s="538"/>
      <c r="S30" s="538"/>
      <c r="T30" s="538"/>
    </row>
  </sheetData>
  <sortState ref="B21:M27">
    <sortCondition descending="1" ref="M21"/>
  </sortState>
  <mergeCells count="10">
    <mergeCell ref="R8:S15"/>
    <mergeCell ref="C16:D16"/>
    <mergeCell ref="E16:P16"/>
    <mergeCell ref="A2:O2"/>
    <mergeCell ref="A4:O4"/>
    <mergeCell ref="C19:L19"/>
    <mergeCell ref="O21:P27"/>
    <mergeCell ref="C28:D28"/>
    <mergeCell ref="E28:P28"/>
    <mergeCell ref="C6:O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8"/>
  <sheetViews>
    <sheetView topLeftCell="A19" workbookViewId="0">
      <selection activeCell="O17" sqref="O17"/>
    </sheetView>
  </sheetViews>
  <sheetFormatPr defaultRowHeight="15"/>
  <cols>
    <col min="1" max="1" width="6.7109375" customWidth="1"/>
    <col min="3" max="3" width="28.7109375" customWidth="1"/>
    <col min="6" max="6" width="0" hidden="1" customWidth="1"/>
  </cols>
  <sheetData>
    <row r="1" spans="1:19" ht="15.75" thickBot="1"/>
    <row r="2" spans="1:19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</row>
    <row r="3" spans="1:19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</row>
    <row r="4" spans="1:19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4"/>
    </row>
    <row r="5" spans="1:19" ht="16.5" thickBot="1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10"/>
      <c r="P5" s="11"/>
      <c r="Q5" s="12"/>
      <c r="R5" s="12"/>
      <c r="S5" s="12"/>
    </row>
    <row r="6" spans="1:19" ht="27" thickBot="1">
      <c r="A6" s="3"/>
      <c r="B6" s="4"/>
      <c r="C6" s="1415" t="s">
        <v>97</v>
      </c>
      <c r="D6" s="1416"/>
      <c r="E6" s="1416"/>
      <c r="F6" s="1416"/>
      <c r="G6" s="1416"/>
      <c r="H6" s="1416"/>
      <c r="I6" s="1416"/>
      <c r="J6" s="1416"/>
      <c r="K6" s="1416"/>
      <c r="L6" s="1442"/>
      <c r="M6" s="247"/>
      <c r="N6" s="248"/>
      <c r="O6" s="249"/>
      <c r="P6" s="11"/>
      <c r="Q6" s="12"/>
      <c r="R6" s="12"/>
      <c r="S6" s="12"/>
    </row>
    <row r="7" spans="1:19" ht="32.25" thickBot="1">
      <c r="A7" s="3"/>
      <c r="B7" s="165" t="s">
        <v>18</v>
      </c>
      <c r="C7" s="19" t="s">
        <v>19</v>
      </c>
      <c r="D7" s="233" t="s">
        <v>20</v>
      </c>
      <c r="E7" s="234" t="s">
        <v>21</v>
      </c>
      <c r="F7" s="235"/>
      <c r="G7" s="267" t="s">
        <v>22</v>
      </c>
      <c r="H7" s="251">
        <v>5</v>
      </c>
      <c r="I7" s="251">
        <v>4</v>
      </c>
      <c r="J7" s="251">
        <v>3</v>
      </c>
      <c r="K7" s="252">
        <v>2</v>
      </c>
      <c r="L7" s="268">
        <v>0</v>
      </c>
      <c r="M7" s="172" t="s">
        <v>23</v>
      </c>
      <c r="N7" s="269" t="s">
        <v>93</v>
      </c>
      <c r="O7" s="270" t="s">
        <v>25</v>
      </c>
      <c r="P7" s="271" t="s">
        <v>26</v>
      </c>
      <c r="Q7" s="12"/>
      <c r="R7" s="85" t="s">
        <v>27</v>
      </c>
      <c r="S7" s="12"/>
    </row>
    <row r="8" spans="1:19" ht="15.75">
      <c r="A8" s="29" t="s">
        <v>98</v>
      </c>
      <c r="B8" s="272">
        <v>169</v>
      </c>
      <c r="C8" s="64" t="s">
        <v>198</v>
      </c>
      <c r="D8" s="177" t="s">
        <v>7</v>
      </c>
      <c r="E8" s="32" t="s">
        <v>4</v>
      </c>
      <c r="F8" s="33"/>
      <c r="G8" s="178">
        <v>9</v>
      </c>
      <c r="H8" s="178">
        <v>11</v>
      </c>
      <c r="I8" s="178">
        <v>4</v>
      </c>
      <c r="J8" s="178"/>
      <c r="K8" s="178"/>
      <c r="L8" s="273"/>
      <c r="M8" s="259">
        <f t="shared" ref="M8:M24" si="0">(G8*5)+(H8*5)+(I8*4)+(J8*3)+(K8*2)</f>
        <v>116</v>
      </c>
      <c r="N8" s="274">
        <f>SUM(G8:L8)</f>
        <v>24</v>
      </c>
      <c r="O8" s="1386" t="str">
        <f>IF(M8&gt;109,"Yes","NO")</f>
        <v>Yes</v>
      </c>
      <c r="P8" s="692"/>
      <c r="Q8" s="12"/>
      <c r="R8" s="157" t="str">
        <f>IF(M8=0," ",IF(N8&lt;&gt;24,"ERROR!"," "))</f>
        <v xml:space="preserve"> </v>
      </c>
      <c r="S8" s="12"/>
    </row>
    <row r="9" spans="1:19" ht="15.75">
      <c r="A9" s="29" t="s">
        <v>98</v>
      </c>
      <c r="B9" s="183">
        <v>2434</v>
      </c>
      <c r="C9" s="73" t="s">
        <v>99</v>
      </c>
      <c r="D9" s="154" t="s">
        <v>9</v>
      </c>
      <c r="E9" s="50" t="s">
        <v>4</v>
      </c>
      <c r="F9" s="51">
        <v>3</v>
      </c>
      <c r="G9" s="184">
        <v>3</v>
      </c>
      <c r="H9" s="184">
        <v>8</v>
      </c>
      <c r="I9" s="184">
        <v>12</v>
      </c>
      <c r="J9" s="184">
        <v>1</v>
      </c>
      <c r="K9" s="184"/>
      <c r="L9" s="275"/>
      <c r="M9" s="262">
        <f t="shared" si="0"/>
        <v>106</v>
      </c>
      <c r="N9" s="276">
        <f t="shared" ref="N9:N11" si="1">SUM(G9:L9)</f>
        <v>24</v>
      </c>
      <c r="O9" s="283" t="str">
        <f>IF(M9&gt;109,"Yes","NO")</f>
        <v>NO</v>
      </c>
      <c r="P9" s="284"/>
      <c r="Q9" s="12"/>
      <c r="R9" s="157"/>
      <c r="S9" s="12"/>
    </row>
    <row r="10" spans="1:19" ht="15.75">
      <c r="A10" s="29" t="s">
        <v>98</v>
      </c>
      <c r="B10" s="207">
        <v>1798</v>
      </c>
      <c r="C10" s="73" t="s">
        <v>58</v>
      </c>
      <c r="D10" s="154" t="s">
        <v>7</v>
      </c>
      <c r="E10" s="50" t="s">
        <v>4</v>
      </c>
      <c r="F10" s="51">
        <v>3</v>
      </c>
      <c r="G10" s="184">
        <v>3</v>
      </c>
      <c r="H10" s="184">
        <v>3</v>
      </c>
      <c r="I10" s="184">
        <v>13</v>
      </c>
      <c r="J10" s="184">
        <v>5</v>
      </c>
      <c r="K10" s="184"/>
      <c r="L10" s="275"/>
      <c r="M10" s="262">
        <f t="shared" si="0"/>
        <v>97</v>
      </c>
      <c r="N10" s="276">
        <f t="shared" ref="N10" si="2">SUM(G10:L10)</f>
        <v>24</v>
      </c>
      <c r="O10" s="283" t="str">
        <f>IF(M10&gt;109,"Yes","NO")</f>
        <v>NO</v>
      </c>
      <c r="P10" s="714"/>
      <c r="Q10" s="12"/>
      <c r="R10" s="157"/>
      <c r="S10" s="12"/>
    </row>
    <row r="11" spans="1:19" ht="14.25" customHeight="1" thickBot="1">
      <c r="A11" s="29" t="s">
        <v>98</v>
      </c>
      <c r="B11" s="207">
        <v>1569</v>
      </c>
      <c r="C11" s="73" t="s">
        <v>220</v>
      </c>
      <c r="D11" s="154" t="s">
        <v>9</v>
      </c>
      <c r="E11" s="50" t="s">
        <v>4</v>
      </c>
      <c r="F11" s="51"/>
      <c r="G11" s="184">
        <v>2</v>
      </c>
      <c r="H11" s="184">
        <v>4</v>
      </c>
      <c r="I11" s="184">
        <v>8</v>
      </c>
      <c r="J11" s="184">
        <v>6</v>
      </c>
      <c r="K11" s="184">
        <v>4</v>
      </c>
      <c r="L11" s="275"/>
      <c r="M11" s="262">
        <f t="shared" si="0"/>
        <v>88</v>
      </c>
      <c r="N11" s="276">
        <f t="shared" si="1"/>
        <v>24</v>
      </c>
      <c r="O11" s="283" t="str">
        <f>IF(M11&gt;109,"Yes","NO")</f>
        <v>NO</v>
      </c>
      <c r="P11" s="714"/>
      <c r="Q11" s="12"/>
      <c r="R11" s="157"/>
      <c r="S11" s="12"/>
    </row>
    <row r="12" spans="1:19" ht="15.75">
      <c r="A12" s="29" t="s">
        <v>98</v>
      </c>
      <c r="B12" s="272">
        <v>1314</v>
      </c>
      <c r="C12" s="64" t="s">
        <v>37</v>
      </c>
      <c r="D12" s="177" t="s">
        <v>12</v>
      </c>
      <c r="E12" s="32" t="s">
        <v>6</v>
      </c>
      <c r="F12" s="33">
        <v>2</v>
      </c>
      <c r="G12" s="178">
        <v>6</v>
      </c>
      <c r="H12" s="178">
        <v>9</v>
      </c>
      <c r="I12" s="178">
        <v>5</v>
      </c>
      <c r="J12" s="178">
        <v>4</v>
      </c>
      <c r="K12" s="178"/>
      <c r="L12" s="273"/>
      <c r="M12" s="259">
        <f t="shared" si="0"/>
        <v>107</v>
      </c>
      <c r="N12" s="274">
        <f t="shared" ref="N12:N22" si="3">SUM(G12:L12)</f>
        <v>24</v>
      </c>
      <c r="O12" s="280" t="str">
        <f t="shared" ref="O12:O22" si="4">IF(M12&gt;109,"Yes","NO")</f>
        <v>NO</v>
      </c>
      <c r="P12" s="1110" t="str">
        <f>IF(O12="yes","M","")</f>
        <v/>
      </c>
      <c r="Q12" s="12"/>
      <c r="R12" s="157" t="str">
        <f>IF(M12=0," ",IF(N12&lt;&gt;24,"ERROR!"," "))</f>
        <v xml:space="preserve"> </v>
      </c>
      <c r="S12" s="12"/>
    </row>
    <row r="13" spans="1:19" ht="15.75">
      <c r="A13" s="29" t="s">
        <v>98</v>
      </c>
      <c r="B13" s="207">
        <v>1477</v>
      </c>
      <c r="C13" s="73" t="s">
        <v>268</v>
      </c>
      <c r="D13" s="154" t="s">
        <v>14</v>
      </c>
      <c r="E13" s="50" t="s">
        <v>6</v>
      </c>
      <c r="F13" s="51"/>
      <c r="G13" s="184">
        <v>3</v>
      </c>
      <c r="H13" s="184">
        <v>4</v>
      </c>
      <c r="I13" s="184">
        <v>10</v>
      </c>
      <c r="J13" s="184">
        <v>6</v>
      </c>
      <c r="K13" s="184">
        <v>1</v>
      </c>
      <c r="L13" s="275"/>
      <c r="M13" s="262">
        <f t="shared" si="0"/>
        <v>95</v>
      </c>
      <c r="N13" s="276">
        <f t="shared" si="3"/>
        <v>24</v>
      </c>
      <c r="O13" s="283" t="str">
        <f t="shared" si="4"/>
        <v>NO</v>
      </c>
      <c r="P13" s="284" t="str">
        <f>IF(O13="yes","M","")</f>
        <v/>
      </c>
      <c r="Q13" s="12"/>
      <c r="R13" s="157" t="str">
        <f>IF(M13=0," ",IF(N13&lt;&gt;24,"ERROR!"," "))</f>
        <v xml:space="preserve"> </v>
      </c>
      <c r="S13" s="12"/>
    </row>
    <row r="14" spans="1:19" ht="15.75">
      <c r="A14" s="29" t="s">
        <v>98</v>
      </c>
      <c r="B14" s="207">
        <v>2105</v>
      </c>
      <c r="C14" s="73" t="s">
        <v>227</v>
      </c>
      <c r="D14" s="154" t="s">
        <v>11</v>
      </c>
      <c r="E14" s="50" t="s">
        <v>6</v>
      </c>
      <c r="F14" s="51" t="e">
        <f>VLOOKUP(E14,$Y$7:$Z$11,2,FALSE)</f>
        <v>#N/A</v>
      </c>
      <c r="G14" s="904">
        <v>3</v>
      </c>
      <c r="H14" s="904">
        <v>6</v>
      </c>
      <c r="I14" s="904">
        <v>6</v>
      </c>
      <c r="J14" s="904">
        <v>7</v>
      </c>
      <c r="K14" s="904">
        <v>1</v>
      </c>
      <c r="L14" s="913">
        <v>1</v>
      </c>
      <c r="M14" s="262">
        <f t="shared" si="0"/>
        <v>92</v>
      </c>
      <c r="N14" s="276">
        <f t="shared" si="3"/>
        <v>24</v>
      </c>
      <c r="O14" s="283" t="str">
        <f t="shared" si="4"/>
        <v>NO</v>
      </c>
      <c r="P14" s="284" t="str">
        <f>IF(O14="yes","M","")</f>
        <v/>
      </c>
      <c r="Q14" s="12"/>
      <c r="R14" s="157" t="str">
        <f>IF(M14=0," ",IF(N14&lt;&gt;24,"ERROR!"," "))</f>
        <v xml:space="preserve"> </v>
      </c>
      <c r="S14" s="12"/>
    </row>
    <row r="15" spans="1:19" ht="15.75">
      <c r="A15" s="29" t="s">
        <v>98</v>
      </c>
      <c r="B15" s="183">
        <v>1952</v>
      </c>
      <c r="C15" s="74" t="s">
        <v>216</v>
      </c>
      <c r="D15" s="73" t="s">
        <v>7</v>
      </c>
      <c r="E15" s="50" t="s">
        <v>6</v>
      </c>
      <c r="F15" s="51">
        <v>2</v>
      </c>
      <c r="G15" s="184">
        <v>1</v>
      </c>
      <c r="H15" s="184">
        <v>4</v>
      </c>
      <c r="I15" s="184">
        <v>10</v>
      </c>
      <c r="J15" s="184">
        <v>7</v>
      </c>
      <c r="K15" s="184">
        <v>2</v>
      </c>
      <c r="L15" s="275"/>
      <c r="M15" s="262">
        <f t="shared" si="0"/>
        <v>90</v>
      </c>
      <c r="N15" s="276">
        <f t="shared" si="3"/>
        <v>24</v>
      </c>
      <c r="O15" s="283" t="str">
        <f t="shared" si="4"/>
        <v>NO</v>
      </c>
      <c r="P15" s="284" t="str">
        <f>IF(O15="yes","M","")</f>
        <v/>
      </c>
      <c r="Q15" s="12"/>
      <c r="R15" s="157" t="str">
        <f>IF(M15=0," ",IF(N15&lt;&gt;24,"ERROR!"," "))</f>
        <v xml:space="preserve"> </v>
      </c>
      <c r="S15" s="12"/>
    </row>
    <row r="16" spans="1:19" ht="15.75">
      <c r="A16" s="29" t="s">
        <v>98</v>
      </c>
      <c r="B16" s="183">
        <v>1268</v>
      </c>
      <c r="C16" s="73" t="s">
        <v>202</v>
      </c>
      <c r="D16" s="73" t="s">
        <v>9</v>
      </c>
      <c r="E16" s="50" t="s">
        <v>6</v>
      </c>
      <c r="F16" s="51" t="e">
        <f>VLOOKUP(E16,$Y$7:$Z$11,2,FALSE)</f>
        <v>#N/A</v>
      </c>
      <c r="G16" s="184">
        <v>0</v>
      </c>
      <c r="H16" s="184">
        <v>8</v>
      </c>
      <c r="I16" s="184">
        <v>7</v>
      </c>
      <c r="J16" s="184">
        <v>5</v>
      </c>
      <c r="K16" s="184">
        <v>3</v>
      </c>
      <c r="L16" s="275">
        <v>1</v>
      </c>
      <c r="M16" s="262">
        <f t="shared" si="0"/>
        <v>89</v>
      </c>
      <c r="N16" s="276">
        <f t="shared" si="3"/>
        <v>24</v>
      </c>
      <c r="O16" s="283" t="str">
        <f t="shared" si="4"/>
        <v>NO</v>
      </c>
      <c r="P16" s="284"/>
      <c r="Q16" s="12"/>
      <c r="R16" s="157"/>
      <c r="S16" s="12"/>
    </row>
    <row r="17" spans="1:19" ht="15.75">
      <c r="A17" s="29" t="s">
        <v>98</v>
      </c>
      <c r="B17" s="207">
        <v>3623</v>
      </c>
      <c r="C17" s="73" t="s">
        <v>69</v>
      </c>
      <c r="D17" s="154" t="s">
        <v>7</v>
      </c>
      <c r="E17" s="50" t="s">
        <v>6</v>
      </c>
      <c r="F17" s="51" t="e">
        <f>VLOOKUP(E17,$Y$7:$Z$11,2,FALSE)</f>
        <v>#N/A</v>
      </c>
      <c r="G17" s="214">
        <v>3</v>
      </c>
      <c r="H17" s="214">
        <v>1</v>
      </c>
      <c r="I17" s="214">
        <v>8</v>
      </c>
      <c r="J17" s="214">
        <v>10</v>
      </c>
      <c r="K17" s="214">
        <v>2</v>
      </c>
      <c r="L17" s="914"/>
      <c r="M17" s="262">
        <f t="shared" si="0"/>
        <v>86</v>
      </c>
      <c r="N17" s="276">
        <f>SUM(G17:L17)</f>
        <v>24</v>
      </c>
      <c r="O17" s="283" t="str">
        <f>IF(M17&gt;102,"Yes","NO")</f>
        <v>NO</v>
      </c>
      <c r="P17" s="284" t="str">
        <f>IF(O17="yes","G","")</f>
        <v/>
      </c>
      <c r="Q17" s="12"/>
      <c r="R17" s="157" t="str">
        <f>IF(M17=0," ",IF(N17&lt;&gt;24,"ERROR!"," "))</f>
        <v xml:space="preserve"> </v>
      </c>
      <c r="S17" s="12"/>
    </row>
    <row r="18" spans="1:19" ht="15.75">
      <c r="A18" s="29" t="s">
        <v>98</v>
      </c>
      <c r="B18" s="207">
        <v>709</v>
      </c>
      <c r="C18" s="73" t="s">
        <v>71</v>
      </c>
      <c r="D18" s="154" t="s">
        <v>9</v>
      </c>
      <c r="E18" s="50" t="s">
        <v>6</v>
      </c>
      <c r="F18" s="51">
        <v>2</v>
      </c>
      <c r="G18" s="214"/>
      <c r="H18" s="214">
        <v>7</v>
      </c>
      <c r="I18" s="214">
        <v>2</v>
      </c>
      <c r="J18" s="214">
        <v>10</v>
      </c>
      <c r="K18" s="214">
        <v>5</v>
      </c>
      <c r="L18" s="914"/>
      <c r="M18" s="262">
        <f t="shared" si="0"/>
        <v>83</v>
      </c>
      <c r="N18" s="276">
        <f t="shared" si="3"/>
        <v>24</v>
      </c>
      <c r="O18" s="283" t="str">
        <f t="shared" si="4"/>
        <v>NO</v>
      </c>
      <c r="P18" s="284"/>
      <c r="Q18" s="12"/>
      <c r="R18" s="157"/>
      <c r="S18" s="12"/>
    </row>
    <row r="19" spans="1:19" ht="15.75">
      <c r="A19" s="29" t="s">
        <v>98</v>
      </c>
      <c r="B19" s="207">
        <v>2138</v>
      </c>
      <c r="C19" s="73" t="s">
        <v>56</v>
      </c>
      <c r="D19" s="154" t="s">
        <v>9</v>
      </c>
      <c r="E19" s="50" t="s">
        <v>6</v>
      </c>
      <c r="F19" s="51" t="e">
        <f>VLOOKUP(E19,$Y$8:$Z$11,2,FALSE)</f>
        <v>#N/A</v>
      </c>
      <c r="G19" s="184">
        <v>2</v>
      </c>
      <c r="H19" s="184">
        <v>2</v>
      </c>
      <c r="I19" s="184">
        <v>5</v>
      </c>
      <c r="J19" s="184">
        <v>9</v>
      </c>
      <c r="K19" s="184">
        <v>6</v>
      </c>
      <c r="L19" s="275"/>
      <c r="M19" s="262">
        <f t="shared" si="0"/>
        <v>79</v>
      </c>
      <c r="N19" s="276">
        <f t="shared" ref="N19" si="5">SUM(G19:L19)</f>
        <v>24</v>
      </c>
      <c r="O19" s="283" t="str">
        <f t="shared" ref="O19" si="6">IF(M19&gt;109,"Yes","NO")</f>
        <v>NO</v>
      </c>
      <c r="P19" s="284"/>
      <c r="Q19" s="12"/>
      <c r="R19" s="157"/>
      <c r="S19" s="12"/>
    </row>
    <row r="20" spans="1:19" ht="15.75">
      <c r="A20" s="29" t="s">
        <v>98</v>
      </c>
      <c r="B20" s="183">
        <v>1264</v>
      </c>
      <c r="C20" s="73" t="s">
        <v>178</v>
      </c>
      <c r="D20" s="73" t="s">
        <v>7</v>
      </c>
      <c r="E20" s="50" t="s">
        <v>6</v>
      </c>
      <c r="F20" s="51" t="e">
        <f>VLOOKUP(E20,$Y$7:$Z$11,2,FALSE)</f>
        <v>#N/A</v>
      </c>
      <c r="G20" s="184">
        <v>1</v>
      </c>
      <c r="H20" s="184"/>
      <c r="I20" s="184">
        <v>10</v>
      </c>
      <c r="J20" s="184">
        <v>7</v>
      </c>
      <c r="K20" s="184">
        <v>6</v>
      </c>
      <c r="L20" s="275"/>
      <c r="M20" s="262">
        <f t="shared" si="0"/>
        <v>78</v>
      </c>
      <c r="N20" s="276">
        <f t="shared" si="3"/>
        <v>24</v>
      </c>
      <c r="O20" s="283" t="str">
        <f t="shared" si="4"/>
        <v>NO</v>
      </c>
      <c r="P20" s="284"/>
      <c r="Q20" s="12"/>
      <c r="R20" s="157"/>
      <c r="S20" s="12"/>
    </row>
    <row r="21" spans="1:19" ht="15.75">
      <c r="A21" s="29" t="s">
        <v>98</v>
      </c>
      <c r="B21" s="207">
        <v>1982</v>
      </c>
      <c r="C21" s="73" t="s">
        <v>77</v>
      </c>
      <c r="D21" s="154" t="s">
        <v>14</v>
      </c>
      <c r="E21" s="50" t="s">
        <v>6</v>
      </c>
      <c r="F21" s="51" t="e">
        <f>VLOOKUP(E21,$Y$7:$Z$11,2,FALSE)</f>
        <v>#N/A</v>
      </c>
      <c r="G21" s="184">
        <v>0</v>
      </c>
      <c r="H21" s="184">
        <v>2</v>
      </c>
      <c r="I21" s="184">
        <v>4</v>
      </c>
      <c r="J21" s="184">
        <v>15</v>
      </c>
      <c r="K21" s="184">
        <v>3</v>
      </c>
      <c r="L21" s="275"/>
      <c r="M21" s="262">
        <f t="shared" si="0"/>
        <v>77</v>
      </c>
      <c r="N21" s="276">
        <f t="shared" si="3"/>
        <v>24</v>
      </c>
      <c r="O21" s="283" t="str">
        <f t="shared" si="4"/>
        <v>NO</v>
      </c>
      <c r="P21" s="284"/>
      <c r="Q21" s="12"/>
      <c r="R21" s="157"/>
      <c r="S21" s="12"/>
    </row>
    <row r="22" spans="1:19" ht="15.75">
      <c r="A22" s="29" t="s">
        <v>98</v>
      </c>
      <c r="B22" s="207">
        <v>1143</v>
      </c>
      <c r="C22" s="73" t="s">
        <v>59</v>
      </c>
      <c r="D22" s="154" t="s">
        <v>9</v>
      </c>
      <c r="E22" s="50" t="s">
        <v>6</v>
      </c>
      <c r="F22" s="51" t="e">
        <f>VLOOKUP(E22,$Y$7:$Z$11,2,FALSE)</f>
        <v>#N/A</v>
      </c>
      <c r="G22" s="184">
        <v>0</v>
      </c>
      <c r="H22" s="184">
        <v>2</v>
      </c>
      <c r="I22" s="184">
        <v>6</v>
      </c>
      <c r="J22" s="184">
        <v>7</v>
      </c>
      <c r="K22" s="184">
        <v>8</v>
      </c>
      <c r="L22" s="275">
        <v>1</v>
      </c>
      <c r="M22" s="262">
        <f t="shared" si="0"/>
        <v>71</v>
      </c>
      <c r="N22" s="276">
        <f t="shared" si="3"/>
        <v>24</v>
      </c>
      <c r="O22" s="283" t="str">
        <f t="shared" si="4"/>
        <v>NO</v>
      </c>
      <c r="P22" s="284" t="str">
        <f>IF(O22="yes","M","")</f>
        <v/>
      </c>
      <c r="Q22" s="12"/>
      <c r="R22" s="157" t="str">
        <f t="shared" ref="R22" si="7">IF(M22=0," ",IF(N22&lt;&gt;24,"ERROR!"," "))</f>
        <v xml:space="preserve"> </v>
      </c>
      <c r="S22" s="12"/>
    </row>
    <row r="23" spans="1:19" ht="15.75">
      <c r="A23" s="29" t="s">
        <v>98</v>
      </c>
      <c r="B23" s="189">
        <v>2786</v>
      </c>
      <c r="C23" s="74" t="s">
        <v>48</v>
      </c>
      <c r="D23" s="154" t="s">
        <v>14</v>
      </c>
      <c r="E23" s="50" t="s">
        <v>6</v>
      </c>
      <c r="F23" s="51" t="e">
        <f>VLOOKUP(E23,$Y$7:$Z$11,2,FALSE)</f>
        <v>#N/A</v>
      </c>
      <c r="G23" s="184">
        <v>1</v>
      </c>
      <c r="H23" s="184">
        <v>0</v>
      </c>
      <c r="I23" s="184">
        <v>7</v>
      </c>
      <c r="J23" s="184">
        <v>6</v>
      </c>
      <c r="K23" s="184">
        <v>8</v>
      </c>
      <c r="L23" s="275">
        <v>2</v>
      </c>
      <c r="M23" s="262">
        <f t="shared" si="0"/>
        <v>67</v>
      </c>
      <c r="N23" s="276">
        <f>SUM(G23:L23)</f>
        <v>24</v>
      </c>
      <c r="O23" s="283" t="str">
        <f>IF(M23&gt;102,"Yes","NO")</f>
        <v>NO</v>
      </c>
      <c r="P23" s="284"/>
      <c r="Q23" s="12"/>
      <c r="R23" s="157"/>
      <c r="S23" s="12"/>
    </row>
    <row r="24" spans="1:19" ht="16.5" thickBot="1">
      <c r="A24" s="29" t="s">
        <v>98</v>
      </c>
      <c r="B24" s="290">
        <v>42</v>
      </c>
      <c r="C24" s="111" t="s">
        <v>259</v>
      </c>
      <c r="D24" s="115" t="s">
        <v>2</v>
      </c>
      <c r="E24" s="59" t="s">
        <v>6</v>
      </c>
      <c r="F24" s="60" t="e">
        <f>VLOOKUP(E24,$Y$7:$Z$11,2,FALSE)</f>
        <v>#N/A</v>
      </c>
      <c r="G24" s="191">
        <v>0</v>
      </c>
      <c r="H24" s="191">
        <v>0</v>
      </c>
      <c r="I24" s="191">
        <v>6</v>
      </c>
      <c r="J24" s="191">
        <v>7</v>
      </c>
      <c r="K24" s="191">
        <v>9</v>
      </c>
      <c r="L24" s="279">
        <v>2</v>
      </c>
      <c r="M24" s="265">
        <f t="shared" si="0"/>
        <v>63</v>
      </c>
      <c r="N24" s="873">
        <f t="shared" ref="N24" si="8">SUM(G24:L24)</f>
        <v>24</v>
      </c>
      <c r="O24" s="1111" t="str">
        <f t="shared" ref="O24" si="9">IF(M24&gt;109,"Yes","NO")</f>
        <v>NO</v>
      </c>
      <c r="P24" s="1112"/>
      <c r="Q24" s="12"/>
      <c r="R24" s="157"/>
      <c r="S24" s="12"/>
    </row>
    <row r="25" spans="1:19" ht="15.75">
      <c r="A25" s="29" t="s">
        <v>98</v>
      </c>
      <c r="B25" s="314">
        <v>309</v>
      </c>
      <c r="C25" s="160" t="s">
        <v>228</v>
      </c>
      <c r="D25" s="162" t="s">
        <v>11</v>
      </c>
      <c r="E25" s="66" t="s">
        <v>5</v>
      </c>
      <c r="F25" s="67">
        <v>1</v>
      </c>
      <c r="G25" s="899">
        <v>2</v>
      </c>
      <c r="H25" s="899">
        <v>7</v>
      </c>
      <c r="I25" s="899">
        <v>9</v>
      </c>
      <c r="J25" s="899">
        <v>4</v>
      </c>
      <c r="K25" s="899">
        <v>2</v>
      </c>
      <c r="L25" s="899">
        <v>0</v>
      </c>
      <c r="M25" s="308">
        <f t="shared" ref="M25" si="10">(G25*5)+(H25*5)+(I25*4)+(J25*3)+(K25*2)</f>
        <v>97</v>
      </c>
      <c r="N25" s="872">
        <f t="shared" ref="N25:N37" si="11">SUM(G25:L25)</f>
        <v>24</v>
      </c>
      <c r="O25" s="287" t="str">
        <f>IF(M25&gt;102,"Yes","NO")</f>
        <v>NO</v>
      </c>
      <c r="P25" s="288" t="str">
        <f t="shared" ref="P25:P27" si="12">IF(O25="yes","G","")</f>
        <v/>
      </c>
      <c r="Q25" s="12"/>
      <c r="R25" s="157" t="str">
        <f>IF(M25=0," ",IF(N25&lt;&gt;24,"ERROR!"," "))</f>
        <v xml:space="preserve"> </v>
      </c>
      <c r="S25" s="12"/>
    </row>
    <row r="26" spans="1:19" ht="15.75">
      <c r="A26" s="29" t="s">
        <v>98</v>
      </c>
      <c r="B26" s="207">
        <v>676</v>
      </c>
      <c r="C26" s="73" t="s">
        <v>229</v>
      </c>
      <c r="D26" s="154" t="s">
        <v>11</v>
      </c>
      <c r="E26" s="50" t="s">
        <v>5</v>
      </c>
      <c r="F26" s="51" t="e">
        <f>VLOOKUP(E26,$Y$8:$Z$11,2,FALSE)</f>
        <v>#N/A</v>
      </c>
      <c r="G26" s="904">
        <v>2</v>
      </c>
      <c r="H26" s="904">
        <v>3</v>
      </c>
      <c r="I26" s="904">
        <v>11</v>
      </c>
      <c r="J26" s="904">
        <v>4</v>
      </c>
      <c r="K26" s="904">
        <v>3</v>
      </c>
      <c r="L26" s="913">
        <v>1</v>
      </c>
      <c r="M26" s="262">
        <f t="shared" ref="M26:M37" si="13">(G26*5)+(H26*5)+(I26*4)+(J26*3)+(K26*2)</f>
        <v>87</v>
      </c>
      <c r="N26" s="276">
        <f t="shared" si="11"/>
        <v>24</v>
      </c>
      <c r="O26" s="283" t="str">
        <f t="shared" ref="O26:O36" si="14">IF(M26&gt;102,"Yes","NO")</f>
        <v>NO</v>
      </c>
      <c r="P26" s="284" t="str">
        <f t="shared" si="12"/>
        <v/>
      </c>
      <c r="Q26" s="12"/>
      <c r="R26" s="157" t="str">
        <f>IF(M26=0," ",IF(N26&lt;&gt;24,"ERROR!"," "))</f>
        <v xml:space="preserve"> </v>
      </c>
      <c r="S26" s="12"/>
    </row>
    <row r="27" spans="1:19" ht="15.75">
      <c r="A27" s="29" t="s">
        <v>98</v>
      </c>
      <c r="B27" s="183">
        <v>1172</v>
      </c>
      <c r="C27" s="73" t="s">
        <v>256</v>
      </c>
      <c r="D27" s="73" t="s">
        <v>7</v>
      </c>
      <c r="E27" s="50" t="s">
        <v>5</v>
      </c>
      <c r="F27" s="51" t="e">
        <f>VLOOKUP(E27,$Y$7:$Z$11,2,FALSE)</f>
        <v>#N/A</v>
      </c>
      <c r="G27" s="184">
        <v>0</v>
      </c>
      <c r="H27" s="184">
        <v>2</v>
      </c>
      <c r="I27" s="184">
        <v>11</v>
      </c>
      <c r="J27" s="184">
        <v>9</v>
      </c>
      <c r="K27" s="184">
        <v>1</v>
      </c>
      <c r="L27" s="275">
        <v>1</v>
      </c>
      <c r="M27" s="262">
        <f t="shared" si="13"/>
        <v>83</v>
      </c>
      <c r="N27" s="276">
        <f t="shared" si="11"/>
        <v>24</v>
      </c>
      <c r="O27" s="283" t="str">
        <f t="shared" si="14"/>
        <v>NO</v>
      </c>
      <c r="P27" s="284" t="str">
        <f t="shared" si="12"/>
        <v/>
      </c>
      <c r="Q27" s="12"/>
      <c r="R27" s="157" t="str">
        <f>IF(M27=0," ",IF(N27&lt;&gt;24,"ERROR!"," "))</f>
        <v xml:space="preserve"> </v>
      </c>
      <c r="S27" s="12"/>
    </row>
    <row r="28" spans="1:19" ht="15.75">
      <c r="A28" s="29" t="s">
        <v>98</v>
      </c>
      <c r="B28" s="207">
        <v>1809</v>
      </c>
      <c r="C28" s="73" t="s">
        <v>61</v>
      </c>
      <c r="D28" s="154" t="s">
        <v>9</v>
      </c>
      <c r="E28" s="50" t="s">
        <v>5</v>
      </c>
      <c r="F28" s="51">
        <v>1</v>
      </c>
      <c r="G28" s="184">
        <v>2</v>
      </c>
      <c r="H28" s="184">
        <v>3</v>
      </c>
      <c r="I28" s="184">
        <v>5</v>
      </c>
      <c r="J28" s="184">
        <v>6</v>
      </c>
      <c r="K28" s="184">
        <v>8</v>
      </c>
      <c r="L28" s="275"/>
      <c r="M28" s="262">
        <f t="shared" si="13"/>
        <v>79</v>
      </c>
      <c r="N28" s="276">
        <f t="shared" si="11"/>
        <v>24</v>
      </c>
      <c r="O28" s="283" t="str">
        <f t="shared" si="14"/>
        <v>NO</v>
      </c>
      <c r="P28" s="284"/>
      <c r="Q28" s="12"/>
      <c r="R28" s="157"/>
      <c r="S28" s="12"/>
    </row>
    <row r="29" spans="1:19" ht="15.75">
      <c r="A29" s="29" t="s">
        <v>98</v>
      </c>
      <c r="B29" s="189">
        <v>1050</v>
      </c>
      <c r="C29" s="74" t="s">
        <v>80</v>
      </c>
      <c r="D29" s="154" t="s">
        <v>9</v>
      </c>
      <c r="E29" s="50" t="s">
        <v>5</v>
      </c>
      <c r="F29" s="51" t="e">
        <f>VLOOKUP(E29,$Y$7:$Z$11,2,FALSE)</f>
        <v>#N/A</v>
      </c>
      <c r="G29" s="184">
        <v>1</v>
      </c>
      <c r="H29" s="184">
        <v>2</v>
      </c>
      <c r="I29" s="184">
        <v>6</v>
      </c>
      <c r="J29" s="184">
        <v>7</v>
      </c>
      <c r="K29" s="184">
        <v>8</v>
      </c>
      <c r="L29" s="275"/>
      <c r="M29" s="262">
        <f t="shared" si="13"/>
        <v>76</v>
      </c>
      <c r="N29" s="276">
        <f t="shared" si="11"/>
        <v>24</v>
      </c>
      <c r="O29" s="283" t="str">
        <f t="shared" si="14"/>
        <v>NO</v>
      </c>
      <c r="P29" s="284"/>
      <c r="Q29" s="12"/>
      <c r="R29" s="157"/>
      <c r="S29" s="12"/>
    </row>
    <row r="30" spans="1:19" ht="15.75">
      <c r="A30" s="29" t="s">
        <v>98</v>
      </c>
      <c r="B30" s="207">
        <v>888</v>
      </c>
      <c r="C30" s="73" t="s">
        <v>74</v>
      </c>
      <c r="D30" s="154" t="s">
        <v>9</v>
      </c>
      <c r="E30" s="50" t="s">
        <v>5</v>
      </c>
      <c r="F30" s="51" t="e">
        <f>VLOOKUP(E30,$Y$7:$Z$11,2,FALSE)</f>
        <v>#N/A</v>
      </c>
      <c r="G30" s="184">
        <v>0</v>
      </c>
      <c r="H30" s="184">
        <v>2</v>
      </c>
      <c r="I30" s="184">
        <v>3</v>
      </c>
      <c r="J30" s="184">
        <v>13</v>
      </c>
      <c r="K30" s="184">
        <v>6</v>
      </c>
      <c r="L30" s="275"/>
      <c r="M30" s="262">
        <f t="shared" si="13"/>
        <v>73</v>
      </c>
      <c r="N30" s="950">
        <f t="shared" si="11"/>
        <v>24</v>
      </c>
      <c r="O30" s="283" t="str">
        <f>IF(M30&gt;102,"Yes","NO")</f>
        <v>NO</v>
      </c>
      <c r="P30" s="284"/>
      <c r="Q30" s="12"/>
      <c r="R30" s="157"/>
      <c r="S30" s="12"/>
    </row>
    <row r="31" spans="1:19" ht="15.75">
      <c r="A31" s="29" t="s">
        <v>98</v>
      </c>
      <c r="B31" s="343">
        <v>1052</v>
      </c>
      <c r="C31" s="73" t="s">
        <v>75</v>
      </c>
      <c r="D31" s="73" t="s">
        <v>9</v>
      </c>
      <c r="E31" s="75" t="s">
        <v>5</v>
      </c>
      <c r="F31" s="76" t="e">
        <f>VLOOKUP(E31,$Y$8:$Z$11,2,FALSE)</f>
        <v>#N/A</v>
      </c>
      <c r="G31" s="951">
        <v>0</v>
      </c>
      <c r="H31" s="951">
        <v>1</v>
      </c>
      <c r="I31" s="951">
        <v>6</v>
      </c>
      <c r="J31" s="951">
        <v>10</v>
      </c>
      <c r="K31" s="951">
        <v>7</v>
      </c>
      <c r="L31" s="952"/>
      <c r="M31" s="953">
        <f t="shared" si="13"/>
        <v>73</v>
      </c>
      <c r="N31" s="276">
        <f t="shared" si="11"/>
        <v>24</v>
      </c>
      <c r="O31" s="283" t="str">
        <f t="shared" si="14"/>
        <v>NO</v>
      </c>
      <c r="P31" s="284"/>
      <c r="Q31" s="12"/>
      <c r="R31" s="157"/>
      <c r="S31" s="12"/>
    </row>
    <row r="32" spans="1:19" ht="15.75">
      <c r="A32" s="29" t="s">
        <v>98</v>
      </c>
      <c r="B32" s="183">
        <v>2521</v>
      </c>
      <c r="C32" s="73" t="s">
        <v>211</v>
      </c>
      <c r="D32" s="154" t="s">
        <v>9</v>
      </c>
      <c r="E32" s="50" t="s">
        <v>5</v>
      </c>
      <c r="F32" s="51" t="e">
        <f t="shared" ref="F32:F37" si="15">VLOOKUP(E32,$Y$7:$Z$11,2,FALSE)</f>
        <v>#N/A</v>
      </c>
      <c r="G32" s="184"/>
      <c r="H32" s="184">
        <v>2</v>
      </c>
      <c r="I32" s="184">
        <v>4</v>
      </c>
      <c r="J32" s="184">
        <v>10</v>
      </c>
      <c r="K32" s="184">
        <v>7</v>
      </c>
      <c r="L32" s="275">
        <v>1</v>
      </c>
      <c r="M32" s="262">
        <f t="shared" si="13"/>
        <v>70</v>
      </c>
      <c r="N32" s="276">
        <f t="shared" si="11"/>
        <v>24</v>
      </c>
      <c r="O32" s="283" t="str">
        <f t="shared" si="14"/>
        <v>NO</v>
      </c>
      <c r="P32" s="284"/>
      <c r="Q32" s="12"/>
      <c r="R32" s="157"/>
      <c r="S32" s="12"/>
    </row>
    <row r="33" spans="1:19" s="1" customFormat="1" ht="15.75">
      <c r="A33" s="342" t="s">
        <v>98</v>
      </c>
      <c r="B33" s="207">
        <v>1687</v>
      </c>
      <c r="C33" s="73" t="s">
        <v>230</v>
      </c>
      <c r="D33" s="154" t="s">
        <v>11</v>
      </c>
      <c r="E33" s="50" t="s">
        <v>5</v>
      </c>
      <c r="F33" s="51" t="e">
        <f t="shared" si="15"/>
        <v>#N/A</v>
      </c>
      <c r="G33" s="904">
        <v>0</v>
      </c>
      <c r="H33" s="904">
        <v>2</v>
      </c>
      <c r="I33" s="904">
        <v>4</v>
      </c>
      <c r="J33" s="904">
        <v>7</v>
      </c>
      <c r="K33" s="904">
        <v>10</v>
      </c>
      <c r="L33" s="913">
        <v>1</v>
      </c>
      <c r="M33" s="262">
        <f t="shared" si="13"/>
        <v>67</v>
      </c>
      <c r="N33" s="950">
        <f t="shared" si="11"/>
        <v>24</v>
      </c>
      <c r="O33" s="954" t="str">
        <f t="shared" si="14"/>
        <v>NO</v>
      </c>
      <c r="P33" s="955"/>
      <c r="Q33" s="77"/>
      <c r="R33" s="348"/>
      <c r="S33" s="77"/>
    </row>
    <row r="34" spans="1:19" ht="15.75">
      <c r="A34" s="29" t="s">
        <v>98</v>
      </c>
      <c r="B34" s="183">
        <v>1850</v>
      </c>
      <c r="C34" s="73" t="s">
        <v>200</v>
      </c>
      <c r="D34" s="154" t="s">
        <v>9</v>
      </c>
      <c r="E34" s="50" t="s">
        <v>5</v>
      </c>
      <c r="F34" s="51" t="e">
        <f t="shared" si="15"/>
        <v>#N/A</v>
      </c>
      <c r="G34" s="184">
        <v>0</v>
      </c>
      <c r="H34" s="184">
        <v>0</v>
      </c>
      <c r="I34" s="184">
        <v>6</v>
      </c>
      <c r="J34" s="184">
        <v>5</v>
      </c>
      <c r="K34" s="184">
        <v>12</v>
      </c>
      <c r="L34" s="275">
        <v>1</v>
      </c>
      <c r="M34" s="262">
        <f t="shared" si="13"/>
        <v>63</v>
      </c>
      <c r="N34" s="276">
        <f t="shared" si="11"/>
        <v>24</v>
      </c>
      <c r="O34" s="283" t="str">
        <f t="shared" si="14"/>
        <v>NO</v>
      </c>
      <c r="P34" s="284"/>
      <c r="Q34" s="12"/>
      <c r="R34" s="157"/>
      <c r="S34" s="12"/>
    </row>
    <row r="35" spans="1:19" ht="15.75">
      <c r="A35" s="29" t="s">
        <v>98</v>
      </c>
      <c r="B35" s="183">
        <v>1615</v>
      </c>
      <c r="C35" s="73" t="s">
        <v>257</v>
      </c>
      <c r="D35" s="154" t="s">
        <v>14</v>
      </c>
      <c r="E35" s="50" t="s">
        <v>5</v>
      </c>
      <c r="F35" s="51" t="e">
        <f t="shared" si="15"/>
        <v>#N/A</v>
      </c>
      <c r="G35" s="291">
        <v>0</v>
      </c>
      <c r="H35" s="291">
        <v>1</v>
      </c>
      <c r="I35" s="291">
        <v>5</v>
      </c>
      <c r="J35" s="291">
        <v>5</v>
      </c>
      <c r="K35" s="291">
        <v>11</v>
      </c>
      <c r="L35" s="292">
        <v>2</v>
      </c>
      <c r="M35" s="262">
        <f t="shared" si="13"/>
        <v>62</v>
      </c>
      <c r="N35" s="276">
        <f t="shared" si="11"/>
        <v>24</v>
      </c>
      <c r="O35" s="283" t="str">
        <f t="shared" si="14"/>
        <v>NO</v>
      </c>
      <c r="P35" s="284"/>
      <c r="Q35" s="12"/>
      <c r="R35" s="157"/>
      <c r="S35" s="12"/>
    </row>
    <row r="36" spans="1:19" ht="15.75">
      <c r="A36" s="29" t="s">
        <v>98</v>
      </c>
      <c r="B36" s="183">
        <v>2499</v>
      </c>
      <c r="C36" s="73" t="s">
        <v>269</v>
      </c>
      <c r="D36" s="73" t="s">
        <v>14</v>
      </c>
      <c r="E36" s="50" t="s">
        <v>5</v>
      </c>
      <c r="F36" s="51" t="e">
        <f t="shared" si="15"/>
        <v>#N/A</v>
      </c>
      <c r="G36" s="184">
        <v>0</v>
      </c>
      <c r="H36" s="184">
        <v>0</v>
      </c>
      <c r="I36" s="184">
        <v>5</v>
      </c>
      <c r="J36" s="184">
        <v>2</v>
      </c>
      <c r="K36" s="184">
        <v>11</v>
      </c>
      <c r="L36" s="275">
        <v>6</v>
      </c>
      <c r="M36" s="262">
        <f t="shared" si="13"/>
        <v>48</v>
      </c>
      <c r="N36" s="276">
        <f t="shared" si="11"/>
        <v>24</v>
      </c>
      <c r="O36" s="283" t="str">
        <f t="shared" si="14"/>
        <v>NO</v>
      </c>
      <c r="P36" s="284"/>
      <c r="Q36" s="12"/>
      <c r="R36" s="157"/>
      <c r="S36" s="12"/>
    </row>
    <row r="37" spans="1:19" ht="15.75">
      <c r="A37" s="29" t="s">
        <v>98</v>
      </c>
      <c r="B37" s="189">
        <v>168</v>
      </c>
      <c r="C37" s="74" t="s">
        <v>83</v>
      </c>
      <c r="D37" s="154" t="s">
        <v>7</v>
      </c>
      <c r="E37" s="50" t="s">
        <v>5</v>
      </c>
      <c r="F37" s="51" t="e">
        <f t="shared" si="15"/>
        <v>#N/A</v>
      </c>
      <c r="G37" s="184">
        <v>0</v>
      </c>
      <c r="H37" s="184">
        <v>0</v>
      </c>
      <c r="I37" s="184">
        <v>0</v>
      </c>
      <c r="J37" s="184">
        <v>3</v>
      </c>
      <c r="K37" s="184">
        <v>17</v>
      </c>
      <c r="L37" s="275">
        <v>4</v>
      </c>
      <c r="M37" s="262">
        <f t="shared" si="13"/>
        <v>43</v>
      </c>
      <c r="N37" s="276">
        <f t="shared" si="11"/>
        <v>24</v>
      </c>
      <c r="O37" s="283" t="str">
        <f t="shared" ref="O37" si="16">IF(M37&gt;102,"Yes","NO")</f>
        <v>NO</v>
      </c>
      <c r="P37" s="284"/>
      <c r="Q37" s="12"/>
      <c r="R37" s="157"/>
      <c r="S37" s="12"/>
    </row>
    <row r="38" spans="1:19" ht="19.5" thickBot="1">
      <c r="A38" s="3"/>
      <c r="B38" s="231">
        <f>COUNT(B8:B37)</f>
        <v>30</v>
      </c>
      <c r="C38" s="1456" t="s">
        <v>85</v>
      </c>
      <c r="D38" s="1457"/>
      <c r="E38" s="1461" t="s">
        <v>96</v>
      </c>
      <c r="F38" s="1462"/>
      <c r="G38" s="1462"/>
      <c r="H38" s="1462"/>
      <c r="I38" s="1462"/>
      <c r="J38" s="1462"/>
      <c r="K38" s="1462"/>
      <c r="L38" s="1462"/>
      <c r="M38" s="1462"/>
      <c r="N38" s="1462"/>
      <c r="O38" s="1462"/>
      <c r="P38" s="1463"/>
      <c r="Q38" s="12"/>
      <c r="R38" s="12"/>
      <c r="S38" s="12"/>
    </row>
  </sheetData>
  <sortState ref="B26:M37">
    <sortCondition descending="1" ref="M25"/>
  </sortState>
  <mergeCells count="5">
    <mergeCell ref="A2:S2"/>
    <mergeCell ref="B4:S4"/>
    <mergeCell ref="C6:L6"/>
    <mergeCell ref="C38:D38"/>
    <mergeCell ref="E38:P3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selection activeCell="L18" sqref="L18"/>
    </sheetView>
  </sheetViews>
  <sheetFormatPr defaultRowHeight="15"/>
  <cols>
    <col min="1" max="1" width="6.42578125" customWidth="1"/>
    <col min="3" max="3" width="27.5703125" customWidth="1"/>
    <col min="6" max="6" width="0" hidden="1" customWidth="1"/>
  </cols>
  <sheetData>
    <row r="1" spans="1:19" ht="15.75" thickBot="1"/>
    <row r="2" spans="1:19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</row>
    <row r="3" spans="1:19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</row>
    <row r="4" spans="1:19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4"/>
    </row>
    <row r="5" spans="1:19" ht="16.5" thickBot="1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10"/>
      <c r="P5" s="11"/>
      <c r="Q5" s="12"/>
      <c r="R5" s="12"/>
      <c r="S5" s="12"/>
    </row>
    <row r="6" spans="1:19" ht="27" thickBot="1">
      <c r="A6" s="3"/>
      <c r="B6" s="4"/>
      <c r="C6" s="1415" t="s">
        <v>100</v>
      </c>
      <c r="D6" s="1416"/>
      <c r="E6" s="1416"/>
      <c r="F6" s="1416"/>
      <c r="G6" s="1416"/>
      <c r="H6" s="1416"/>
      <c r="I6" s="1416"/>
      <c r="J6" s="1416"/>
      <c r="K6" s="1416"/>
      <c r="L6" s="1417"/>
      <c r="M6" s="293"/>
      <c r="N6" s="294"/>
      <c r="O6" s="277"/>
      <c r="P6" s="11"/>
      <c r="Q6" s="12"/>
      <c r="R6" s="12"/>
      <c r="S6" s="12"/>
    </row>
    <row r="7" spans="1:19" ht="32.25" thickBot="1">
      <c r="A7" s="3"/>
      <c r="B7" s="165" t="s">
        <v>18</v>
      </c>
      <c r="C7" s="19" t="s">
        <v>19</v>
      </c>
      <c r="D7" s="233" t="s">
        <v>20</v>
      </c>
      <c r="E7" s="234" t="s">
        <v>21</v>
      </c>
      <c r="F7" s="235"/>
      <c r="G7" s="250" t="s">
        <v>22</v>
      </c>
      <c r="H7" s="251">
        <v>5</v>
      </c>
      <c r="I7" s="251">
        <v>4</v>
      </c>
      <c r="J7" s="251">
        <v>3</v>
      </c>
      <c r="K7" s="252">
        <v>2</v>
      </c>
      <c r="L7" s="253">
        <v>0</v>
      </c>
      <c r="M7" s="295" t="s">
        <v>23</v>
      </c>
      <c r="N7" s="269" t="s">
        <v>93</v>
      </c>
      <c r="O7" s="296" t="s">
        <v>25</v>
      </c>
      <c r="P7" s="297" t="s">
        <v>26</v>
      </c>
      <c r="Q7" s="5"/>
      <c r="R7" s="85" t="s">
        <v>27</v>
      </c>
      <c r="S7" s="12"/>
    </row>
    <row r="8" spans="1:19" ht="16.5" thickBot="1">
      <c r="A8" s="29" t="s">
        <v>101</v>
      </c>
      <c r="B8" s="207">
        <v>1786</v>
      </c>
      <c r="C8" s="73" t="s">
        <v>29</v>
      </c>
      <c r="D8" s="154" t="s">
        <v>14</v>
      </c>
      <c r="E8" s="300" t="s">
        <v>3</v>
      </c>
      <c r="F8" s="51" t="e">
        <f t="shared" ref="F8:F24" si="0">VLOOKUP(E8,$Y$7:$Z$9,2,FALSE)</f>
        <v>#N/A</v>
      </c>
      <c r="G8" s="301">
        <v>8</v>
      </c>
      <c r="H8" s="301">
        <v>8</v>
      </c>
      <c r="I8" s="301">
        <v>5</v>
      </c>
      <c r="J8" s="301">
        <v>2</v>
      </c>
      <c r="K8" s="302"/>
      <c r="L8" s="261">
        <v>1</v>
      </c>
      <c r="M8" s="262">
        <f t="shared" ref="M8" si="1">(G8*5)+(H8*5)+(I8*4)+(J8*3)+(K8*2)</f>
        <v>106</v>
      </c>
      <c r="N8" s="263">
        <f t="shared" ref="N8:N32" si="2">SUM(G8:L8)</f>
        <v>24</v>
      </c>
      <c r="O8" s="1464"/>
      <c r="P8" s="1465"/>
      <c r="Q8" s="5"/>
      <c r="R8" s="157" t="str">
        <f t="shared" ref="R8:R9" si="3">IF(M8=0," ",IF(N8&lt;&gt;24,"ERROR!"," "))</f>
        <v xml:space="preserve"> </v>
      </c>
      <c r="S8" s="12"/>
    </row>
    <row r="9" spans="1:19" ht="15.75">
      <c r="A9" s="29" t="s">
        <v>101</v>
      </c>
      <c r="B9" s="196">
        <v>2434</v>
      </c>
      <c r="C9" s="64" t="s">
        <v>53</v>
      </c>
      <c r="D9" s="177" t="s">
        <v>9</v>
      </c>
      <c r="E9" s="32" t="s">
        <v>4</v>
      </c>
      <c r="F9" s="33" t="e">
        <f>VLOOKUP(E9,$Y$7:$Z$9,2,FALSE)</f>
        <v>#N/A</v>
      </c>
      <c r="G9" s="298">
        <v>9</v>
      </c>
      <c r="H9" s="298">
        <v>4</v>
      </c>
      <c r="I9" s="298">
        <v>5</v>
      </c>
      <c r="J9" s="298">
        <v>5</v>
      </c>
      <c r="K9" s="299"/>
      <c r="L9" s="258">
        <v>1</v>
      </c>
      <c r="M9" s="259">
        <f t="shared" ref="M9:M23" si="4">(G9*5)+(H9*5)+(I9*4)+(J9*3)+(K9*2)</f>
        <v>100</v>
      </c>
      <c r="N9" s="260">
        <f t="shared" si="2"/>
        <v>24</v>
      </c>
      <c r="O9" s="1464"/>
      <c r="P9" s="1465"/>
      <c r="Q9" s="5"/>
      <c r="R9" s="157" t="str">
        <f t="shared" si="3"/>
        <v xml:space="preserve"> </v>
      </c>
      <c r="S9" s="12"/>
    </row>
    <row r="10" spans="1:19" ht="15.75">
      <c r="A10" s="29" t="s">
        <v>101</v>
      </c>
      <c r="B10" s="1275">
        <v>1569</v>
      </c>
      <c r="C10" s="160" t="s">
        <v>220</v>
      </c>
      <c r="D10" s="162" t="s">
        <v>9</v>
      </c>
      <c r="E10" s="66" t="s">
        <v>4</v>
      </c>
      <c r="F10" s="67"/>
      <c r="G10" s="306">
        <v>2</v>
      </c>
      <c r="H10" s="306">
        <v>7</v>
      </c>
      <c r="I10" s="306">
        <v>6</v>
      </c>
      <c r="J10" s="306">
        <v>8</v>
      </c>
      <c r="K10" s="305"/>
      <c r="L10" s="307">
        <v>1</v>
      </c>
      <c r="M10" s="1114">
        <f t="shared" si="4"/>
        <v>93</v>
      </c>
      <c r="N10" s="879">
        <f t="shared" ref="N10" si="5">SUM(G10:L10)</f>
        <v>24</v>
      </c>
      <c r="O10" s="1184"/>
      <c r="P10" s="1185"/>
      <c r="Q10" s="5"/>
      <c r="R10" s="157"/>
      <c r="S10" s="12"/>
    </row>
    <row r="11" spans="1:19" ht="16.5" thickBot="1">
      <c r="A11" s="29" t="s">
        <v>101</v>
      </c>
      <c r="B11" s="183">
        <v>1798</v>
      </c>
      <c r="C11" s="73" t="s">
        <v>103</v>
      </c>
      <c r="D11" s="154" t="s">
        <v>7</v>
      </c>
      <c r="E11" s="50" t="s">
        <v>4</v>
      </c>
      <c r="F11" s="51" t="e">
        <f>VLOOKUP(E11,$Y$7:$Z$9,2,FALSE)</f>
        <v>#N/A</v>
      </c>
      <c r="G11" s="301">
        <v>0</v>
      </c>
      <c r="H11" s="301">
        <v>3</v>
      </c>
      <c r="I11" s="301">
        <v>12</v>
      </c>
      <c r="J11" s="301">
        <v>7</v>
      </c>
      <c r="K11" s="302">
        <v>2</v>
      </c>
      <c r="L11" s="309"/>
      <c r="M11" s="1114">
        <f t="shared" si="4"/>
        <v>88</v>
      </c>
      <c r="N11" s="879">
        <f t="shared" ref="N11" si="6">SUM(G11:L11)</f>
        <v>24</v>
      </c>
      <c r="O11" s="1195"/>
      <c r="P11" s="1196"/>
      <c r="Q11" s="5"/>
      <c r="R11" s="157"/>
      <c r="S11" s="12"/>
    </row>
    <row r="12" spans="1:19" ht="16.5" thickBot="1">
      <c r="A12" s="29" t="s">
        <v>101</v>
      </c>
      <c r="B12" s="190">
        <v>1477</v>
      </c>
      <c r="C12" s="111" t="s">
        <v>268</v>
      </c>
      <c r="D12" s="115" t="s">
        <v>14</v>
      </c>
      <c r="E12" s="59" t="s">
        <v>4</v>
      </c>
      <c r="F12" s="60"/>
      <c r="G12" s="303">
        <v>3</v>
      </c>
      <c r="H12" s="303">
        <v>3</v>
      </c>
      <c r="I12" s="303">
        <v>4</v>
      </c>
      <c r="J12" s="303">
        <v>13</v>
      </c>
      <c r="K12" s="304">
        <v>1</v>
      </c>
      <c r="L12" s="264"/>
      <c r="M12" s="265">
        <f t="shared" si="4"/>
        <v>87</v>
      </c>
      <c r="N12" s="266">
        <f>SUM(G12:L12)</f>
        <v>24</v>
      </c>
      <c r="O12" s="280" t="str">
        <f>IF(M12&gt;114,"Yes","NO")</f>
        <v>NO</v>
      </c>
      <c r="P12" s="288"/>
      <c r="Q12" s="12"/>
      <c r="R12" s="157"/>
      <c r="S12" s="12"/>
    </row>
    <row r="13" spans="1:19" ht="15.75">
      <c r="A13" s="29" t="s">
        <v>101</v>
      </c>
      <c r="B13" s="250">
        <v>169</v>
      </c>
      <c r="C13" s="760" t="s">
        <v>206</v>
      </c>
      <c r="D13" s="23" t="s">
        <v>7</v>
      </c>
      <c r="E13" s="86" t="s">
        <v>6</v>
      </c>
      <c r="F13" s="82" t="e">
        <f>VLOOKUP(E13,$Y$7:$Z$9,2,FALSE)</f>
        <v>#N/A</v>
      </c>
      <c r="G13" s="1115">
        <v>7</v>
      </c>
      <c r="H13" s="1115">
        <v>10</v>
      </c>
      <c r="I13" s="1115">
        <v>5</v>
      </c>
      <c r="J13" s="1115">
        <v>2</v>
      </c>
      <c r="K13" s="251"/>
      <c r="L13" s="1325"/>
      <c r="M13" s="254">
        <f t="shared" si="4"/>
        <v>111</v>
      </c>
      <c r="N13" s="1031">
        <f>SUM(G13:L13)</f>
        <v>24</v>
      </c>
      <c r="O13" s="1387" t="str">
        <f>IF(M13&gt;109,"Yes","NO")</f>
        <v>Yes</v>
      </c>
      <c r="P13" s="284" t="str">
        <f>IF(O13="yes","M","")</f>
        <v>M</v>
      </c>
      <c r="Q13" s="12"/>
      <c r="R13" s="157" t="str">
        <f>IF(M13=0," ",IF(N13&lt;&gt;24,"ERROR!"," "))</f>
        <v xml:space="preserve"> </v>
      </c>
      <c r="S13" s="12"/>
    </row>
    <row r="14" spans="1:19" ht="15.75">
      <c r="A14" s="29" t="s">
        <v>101</v>
      </c>
      <c r="B14" s="207">
        <v>1465</v>
      </c>
      <c r="C14" s="73" t="s">
        <v>246</v>
      </c>
      <c r="D14" s="154" t="s">
        <v>14</v>
      </c>
      <c r="E14" s="50" t="s">
        <v>6</v>
      </c>
      <c r="F14" s="51" t="e">
        <f>VLOOKUP(E14,$Y$7:$Z$9,2,FALSE)</f>
        <v>#N/A</v>
      </c>
      <c r="G14" s="301">
        <v>6</v>
      </c>
      <c r="H14" s="301">
        <v>5</v>
      </c>
      <c r="I14" s="301">
        <v>11</v>
      </c>
      <c r="J14" s="301">
        <v>1</v>
      </c>
      <c r="K14" s="302">
        <v>1</v>
      </c>
      <c r="L14" s="261"/>
      <c r="M14" s="262">
        <f t="shared" si="4"/>
        <v>104</v>
      </c>
      <c r="N14" s="263">
        <f t="shared" si="2"/>
        <v>24</v>
      </c>
      <c r="O14" s="283" t="str">
        <f t="shared" ref="O14:O20" si="7">IF(M14&gt;109,"Yes","NO")</f>
        <v>NO</v>
      </c>
      <c r="P14" s="284" t="str">
        <f>IF(O14="yes","M","")</f>
        <v/>
      </c>
      <c r="Q14" s="12"/>
      <c r="R14" s="157" t="str">
        <f t="shared" ref="R14:R15" si="8">IF(M14=0," ",IF(N14&lt;&gt;24,"ERROR!"," "))</f>
        <v xml:space="preserve"> </v>
      </c>
      <c r="S14" s="12"/>
    </row>
    <row r="15" spans="1:19" ht="15.75">
      <c r="A15" s="29" t="s">
        <v>101</v>
      </c>
      <c r="B15" s="207">
        <v>1314</v>
      </c>
      <c r="C15" s="73" t="s">
        <v>37</v>
      </c>
      <c r="D15" s="154" t="s">
        <v>12</v>
      </c>
      <c r="E15" s="50" t="s">
        <v>6</v>
      </c>
      <c r="F15" s="51" t="e">
        <f>VLOOKUP(E15,$Y$7:$Z$9,2,FALSE)</f>
        <v>#N/A</v>
      </c>
      <c r="G15" s="301">
        <v>10</v>
      </c>
      <c r="H15" s="301">
        <v>3</v>
      </c>
      <c r="I15" s="301">
        <v>7</v>
      </c>
      <c r="J15" s="301"/>
      <c r="K15" s="302"/>
      <c r="L15" s="261">
        <v>4</v>
      </c>
      <c r="M15" s="262">
        <f t="shared" si="4"/>
        <v>93</v>
      </c>
      <c r="N15" s="263">
        <f t="shared" si="2"/>
        <v>24</v>
      </c>
      <c r="O15" s="283" t="str">
        <f t="shared" si="7"/>
        <v>NO</v>
      </c>
      <c r="P15" s="284" t="str">
        <f>IF(O15="yes","M","")</f>
        <v/>
      </c>
      <c r="Q15" s="12"/>
      <c r="R15" s="157" t="str">
        <f t="shared" si="8"/>
        <v xml:space="preserve"> </v>
      </c>
      <c r="S15" s="12"/>
    </row>
    <row r="16" spans="1:19" ht="15.75">
      <c r="A16" s="29" t="s">
        <v>101</v>
      </c>
      <c r="B16" s="207">
        <v>638</v>
      </c>
      <c r="C16" s="73" t="s">
        <v>270</v>
      </c>
      <c r="D16" s="154" t="s">
        <v>14</v>
      </c>
      <c r="E16" s="50" t="s">
        <v>6</v>
      </c>
      <c r="F16" s="51"/>
      <c r="G16" s="301">
        <v>2</v>
      </c>
      <c r="H16" s="301">
        <v>3</v>
      </c>
      <c r="I16" s="301">
        <v>10</v>
      </c>
      <c r="J16" s="301">
        <v>7</v>
      </c>
      <c r="K16" s="302">
        <v>2</v>
      </c>
      <c r="L16" s="261"/>
      <c r="M16" s="262">
        <f t="shared" si="4"/>
        <v>90</v>
      </c>
      <c r="N16" s="263">
        <f>SUM(G16:L16)</f>
        <v>24</v>
      </c>
      <c r="O16" s="283" t="str">
        <f>IF(M16&gt;109,"Yes","NO")</f>
        <v>NO</v>
      </c>
      <c r="P16" s="284"/>
      <c r="Q16" s="12"/>
      <c r="R16" s="157"/>
      <c r="S16" s="12"/>
    </row>
    <row r="17" spans="1:19" ht="15.75">
      <c r="A17" s="29" t="s">
        <v>101</v>
      </c>
      <c r="B17" s="183">
        <v>1952</v>
      </c>
      <c r="C17" s="74" t="s">
        <v>216</v>
      </c>
      <c r="D17" s="73" t="s">
        <v>7</v>
      </c>
      <c r="E17" s="50" t="s">
        <v>6</v>
      </c>
      <c r="F17" s="51" t="e">
        <f>VLOOKUP(E17,$Y$7:$Z$9,2,FALSE)</f>
        <v>#N/A</v>
      </c>
      <c r="G17" s="301">
        <v>2</v>
      </c>
      <c r="H17" s="301">
        <v>5</v>
      </c>
      <c r="I17" s="301">
        <v>7</v>
      </c>
      <c r="J17" s="301">
        <v>6</v>
      </c>
      <c r="K17" s="302">
        <v>4</v>
      </c>
      <c r="L17" s="261"/>
      <c r="M17" s="262">
        <f t="shared" si="4"/>
        <v>89</v>
      </c>
      <c r="N17" s="263">
        <f>SUM(G17:L17)</f>
        <v>24</v>
      </c>
      <c r="O17" s="283" t="str">
        <f>IF(M17&gt;109,"Yes","NO")</f>
        <v>NO</v>
      </c>
      <c r="P17" s="284"/>
      <c r="Q17" s="12"/>
      <c r="R17" s="157" t="str">
        <f>IF(M17=0," ",IF(N17&lt;&gt;24,"ERROR!"," "))</f>
        <v xml:space="preserve"> </v>
      </c>
      <c r="S17" s="12"/>
    </row>
    <row r="18" spans="1:19" ht="15.75">
      <c r="A18" s="29" t="s">
        <v>101</v>
      </c>
      <c r="B18" s="207">
        <v>1143</v>
      </c>
      <c r="C18" s="73" t="s">
        <v>59</v>
      </c>
      <c r="D18" s="154" t="s">
        <v>9</v>
      </c>
      <c r="E18" s="50" t="s">
        <v>6</v>
      </c>
      <c r="F18" s="51" t="e">
        <f>VLOOKUP(E18,$Y$7:$Z$9,2,FALSE)</f>
        <v>#N/A</v>
      </c>
      <c r="G18" s="301">
        <v>1</v>
      </c>
      <c r="H18" s="301">
        <v>5</v>
      </c>
      <c r="I18" s="301">
        <v>6</v>
      </c>
      <c r="J18" s="301">
        <v>11</v>
      </c>
      <c r="K18" s="302">
        <v>1</v>
      </c>
      <c r="L18" s="261"/>
      <c r="M18" s="1326">
        <f t="shared" si="4"/>
        <v>89</v>
      </c>
      <c r="N18" s="263">
        <f t="shared" si="2"/>
        <v>24</v>
      </c>
      <c r="O18" s="283" t="str">
        <f t="shared" si="7"/>
        <v>NO</v>
      </c>
      <c r="P18" s="284"/>
      <c r="Q18" s="12"/>
      <c r="R18" s="157" t="str">
        <f>IF(M18=0," ",IF(N18&lt;&gt;24,"ERROR!"," "))</f>
        <v xml:space="preserve"> </v>
      </c>
      <c r="S18" s="12"/>
    </row>
    <row r="19" spans="1:19" ht="15.75">
      <c r="A19" s="29" t="s">
        <v>101</v>
      </c>
      <c r="B19" s="207">
        <v>709</v>
      </c>
      <c r="C19" s="73" t="s">
        <v>71</v>
      </c>
      <c r="D19" s="154" t="s">
        <v>9</v>
      </c>
      <c r="E19" s="50" t="s">
        <v>6</v>
      </c>
      <c r="F19" s="51" t="e">
        <f>VLOOKUP(E19,$Y$7:$Z$9,2,FALSE)</f>
        <v>#N/A</v>
      </c>
      <c r="G19" s="301"/>
      <c r="H19" s="301">
        <v>2</v>
      </c>
      <c r="I19" s="301">
        <v>8</v>
      </c>
      <c r="J19" s="301">
        <v>12</v>
      </c>
      <c r="K19" s="302">
        <v>2</v>
      </c>
      <c r="L19" s="261"/>
      <c r="M19" s="262">
        <f t="shared" si="4"/>
        <v>82</v>
      </c>
      <c r="N19" s="263">
        <f t="shared" ref="N19" si="9">SUM(G19:L19)</f>
        <v>24</v>
      </c>
      <c r="O19" s="283" t="str">
        <f t="shared" ref="O19" si="10">IF(M19&gt;109,"Yes","NO")</f>
        <v>NO</v>
      </c>
      <c r="P19" s="284"/>
      <c r="Q19" s="12"/>
      <c r="R19" s="157"/>
      <c r="S19" s="12"/>
    </row>
    <row r="20" spans="1:19" ht="15.75">
      <c r="A20" s="29" t="s">
        <v>101</v>
      </c>
      <c r="B20" s="207">
        <v>1264</v>
      </c>
      <c r="C20" s="73" t="s">
        <v>178</v>
      </c>
      <c r="D20" s="154" t="s">
        <v>7</v>
      </c>
      <c r="E20" s="50" t="s">
        <v>6</v>
      </c>
      <c r="F20" s="51" t="e">
        <f>VLOOKUP(E20,$Y$7:$Z$9,2,FALSE)</f>
        <v>#N/A</v>
      </c>
      <c r="G20" s="301">
        <v>2</v>
      </c>
      <c r="H20" s="301">
        <v>2</v>
      </c>
      <c r="I20" s="301">
        <v>5</v>
      </c>
      <c r="J20" s="301">
        <v>9</v>
      </c>
      <c r="K20" s="302">
        <v>6</v>
      </c>
      <c r="L20" s="261"/>
      <c r="M20" s="262">
        <f t="shared" si="4"/>
        <v>79</v>
      </c>
      <c r="N20" s="263">
        <f t="shared" si="2"/>
        <v>24</v>
      </c>
      <c r="O20" s="316" t="str">
        <f t="shared" si="7"/>
        <v>NO</v>
      </c>
      <c r="P20" s="284" t="str">
        <f>IF(O20="yes","M","")</f>
        <v/>
      </c>
      <c r="Q20" s="12"/>
      <c r="R20" s="206" t="str">
        <f t="shared" ref="R20:R23" si="11">IF(M20=0," ",IF(N20&lt;&gt;24,"ERROR!"," "))</f>
        <v xml:space="preserve"> </v>
      </c>
      <c r="S20" s="12"/>
    </row>
    <row r="21" spans="1:19" ht="15.75">
      <c r="A21" s="29" t="s">
        <v>101</v>
      </c>
      <c r="B21" s="189">
        <v>1615</v>
      </c>
      <c r="C21" s="74" t="s">
        <v>257</v>
      </c>
      <c r="D21" s="154" t="s">
        <v>14</v>
      </c>
      <c r="E21" s="300" t="s">
        <v>6</v>
      </c>
      <c r="F21" s="51" t="e">
        <f>VLOOKUP(E21,$Y$7:$Z$9,2,FALSE)</f>
        <v>#N/A</v>
      </c>
      <c r="G21" s="301">
        <v>1</v>
      </c>
      <c r="H21" s="301">
        <v>2</v>
      </c>
      <c r="I21" s="301">
        <v>7</v>
      </c>
      <c r="J21" s="301">
        <v>8</v>
      </c>
      <c r="K21" s="302">
        <v>5</v>
      </c>
      <c r="L21" s="261">
        <v>1</v>
      </c>
      <c r="M21" s="262">
        <f t="shared" si="4"/>
        <v>77</v>
      </c>
      <c r="N21" s="263">
        <f>SUM(G21:L21)</f>
        <v>24</v>
      </c>
      <c r="O21" s="283" t="str">
        <f>IF(M21&gt;102,"Yes","NO")</f>
        <v>NO</v>
      </c>
      <c r="P21" s="284" t="str">
        <f>IF(O21="yes","G","")</f>
        <v/>
      </c>
      <c r="Q21" s="12"/>
      <c r="R21" s="157" t="str">
        <f>IF(M21=0," ",IF(N21&lt;&gt;24,"ERROR!"," "))</f>
        <v xml:space="preserve"> </v>
      </c>
      <c r="S21" s="12"/>
    </row>
    <row r="22" spans="1:19" ht="15.75">
      <c r="A22" s="29" t="s">
        <v>101</v>
      </c>
      <c r="B22" s="207">
        <v>1268</v>
      </c>
      <c r="C22" s="73" t="s">
        <v>202</v>
      </c>
      <c r="D22" s="154" t="s">
        <v>9</v>
      </c>
      <c r="E22" s="50" t="s">
        <v>6</v>
      </c>
      <c r="F22" s="51"/>
      <c r="G22" s="301">
        <v>0</v>
      </c>
      <c r="H22" s="301">
        <v>3</v>
      </c>
      <c r="I22" s="301">
        <v>2</v>
      </c>
      <c r="J22" s="301">
        <v>6</v>
      </c>
      <c r="K22" s="302">
        <v>13</v>
      </c>
      <c r="L22" s="261"/>
      <c r="M22" s="262">
        <f t="shared" si="4"/>
        <v>67</v>
      </c>
      <c r="N22" s="263">
        <f>SUM(G22:L22)</f>
        <v>24</v>
      </c>
      <c r="O22" s="287" t="str">
        <f>IF(M22&gt;102,"Yes","NO")</f>
        <v>NO</v>
      </c>
      <c r="P22" s="288"/>
      <c r="Q22" s="12"/>
      <c r="R22" s="157" t="str">
        <f>IF(M22=0," ",IF(N22&lt;&gt;24,"ERROR!"," "))</f>
        <v xml:space="preserve"> </v>
      </c>
      <c r="S22" s="12"/>
    </row>
    <row r="23" spans="1:19" ht="16.5" thickBot="1">
      <c r="A23" s="29" t="s">
        <v>101</v>
      </c>
      <c r="B23" s="290">
        <v>1982</v>
      </c>
      <c r="C23" s="111" t="s">
        <v>77</v>
      </c>
      <c r="D23" s="115" t="s">
        <v>14</v>
      </c>
      <c r="E23" s="59" t="s">
        <v>6</v>
      </c>
      <c r="F23" s="60" t="e">
        <f>VLOOKUP(E23,$Y$7:$Z$9,2,FALSE)</f>
        <v>#N/A</v>
      </c>
      <c r="G23" s="303">
        <v>1</v>
      </c>
      <c r="H23" s="303">
        <v>0</v>
      </c>
      <c r="I23" s="303">
        <v>4</v>
      </c>
      <c r="J23" s="303">
        <v>10</v>
      </c>
      <c r="K23" s="304">
        <v>7</v>
      </c>
      <c r="L23" s="264">
        <v>2</v>
      </c>
      <c r="M23" s="265">
        <f t="shared" si="4"/>
        <v>65</v>
      </c>
      <c r="N23" s="263">
        <f t="shared" si="2"/>
        <v>24</v>
      </c>
      <c r="O23" s="311" t="str">
        <f>IF(M23&gt;102,"Yes","NO")</f>
        <v>NO</v>
      </c>
      <c r="P23" s="312" t="str">
        <f t="shared" ref="P23:P32" si="12">IF(O23="yes","G","")</f>
        <v/>
      </c>
      <c r="Q23" s="12"/>
      <c r="R23" s="157" t="str">
        <f t="shared" si="11"/>
        <v xml:space="preserve"> </v>
      </c>
      <c r="S23" s="12"/>
    </row>
    <row r="24" spans="1:19" ht="15.75">
      <c r="A24" s="29" t="s">
        <v>101</v>
      </c>
      <c r="B24" s="281">
        <v>1687</v>
      </c>
      <c r="C24" s="40" t="s">
        <v>230</v>
      </c>
      <c r="D24" s="213" t="s">
        <v>11</v>
      </c>
      <c r="E24" s="42" t="s">
        <v>5</v>
      </c>
      <c r="F24" s="43" t="e">
        <f t="shared" si="0"/>
        <v>#N/A</v>
      </c>
      <c r="G24" s="1113">
        <v>3</v>
      </c>
      <c r="H24" s="1113">
        <v>5</v>
      </c>
      <c r="I24" s="1113">
        <v>8</v>
      </c>
      <c r="J24" s="1113">
        <v>5</v>
      </c>
      <c r="K24" s="1113">
        <v>2</v>
      </c>
      <c r="L24" s="1113">
        <v>1</v>
      </c>
      <c r="M24" s="1114">
        <f t="shared" ref="M24" si="13">(G24*5)+(H24*5)+(I24*4)+(J24*3)+(K24*2)</f>
        <v>91</v>
      </c>
      <c r="N24" s="879">
        <f>SUM(G24:L24)</f>
        <v>24</v>
      </c>
      <c r="O24" s="283" t="str">
        <f>IF(M24&gt;102,"Yes","NO")</f>
        <v>NO</v>
      </c>
      <c r="P24" s="284" t="str">
        <f>IF(O24="yes","G","")</f>
        <v/>
      </c>
      <c r="Q24" s="12"/>
      <c r="R24" s="157" t="str">
        <f>IF(M24=0," ",IF(N24&lt;&gt;24,"ERROR!"," "))</f>
        <v xml:space="preserve"> </v>
      </c>
      <c r="S24" s="12"/>
    </row>
    <row r="25" spans="1:19" ht="15.75">
      <c r="A25" s="29" t="s">
        <v>101</v>
      </c>
      <c r="B25" s="207">
        <v>2105</v>
      </c>
      <c r="C25" s="73" t="s">
        <v>227</v>
      </c>
      <c r="D25" s="154" t="s">
        <v>11</v>
      </c>
      <c r="E25" s="50" t="s">
        <v>5</v>
      </c>
      <c r="F25" s="51">
        <v>1</v>
      </c>
      <c r="G25" s="916">
        <v>3</v>
      </c>
      <c r="H25" s="916">
        <v>3</v>
      </c>
      <c r="I25" s="916">
        <v>7</v>
      </c>
      <c r="J25" s="916">
        <v>7</v>
      </c>
      <c r="K25" s="916">
        <v>3</v>
      </c>
      <c r="L25" s="916">
        <v>1</v>
      </c>
      <c r="M25" s="262">
        <f t="shared" ref="M25:M32" si="14">(G25*5)+(H25*5)+(I25*4)+(J25*3)+(K25*2)</f>
        <v>85</v>
      </c>
      <c r="N25" s="263">
        <f>SUM(G25:L25)</f>
        <v>24</v>
      </c>
      <c r="O25" s="283" t="str">
        <f>IF(M25&gt;102,"Yes","NO")</f>
        <v>NO</v>
      </c>
      <c r="P25" s="284"/>
      <c r="Q25" s="12"/>
      <c r="R25" s="157"/>
      <c r="S25" s="12"/>
    </row>
    <row r="26" spans="1:19" ht="15.75">
      <c r="A26" s="29" t="s">
        <v>101</v>
      </c>
      <c r="B26" s="314">
        <v>641</v>
      </c>
      <c r="C26" s="160" t="s">
        <v>55</v>
      </c>
      <c r="D26" s="162" t="s">
        <v>14</v>
      </c>
      <c r="E26" s="66" t="s">
        <v>5</v>
      </c>
      <c r="F26" s="67" t="e">
        <f>VLOOKUP(E26,$Y$7:$Z$9,2,FALSE)</f>
        <v>#N/A</v>
      </c>
      <c r="G26" s="306">
        <v>0</v>
      </c>
      <c r="H26" s="306">
        <v>5</v>
      </c>
      <c r="I26" s="306">
        <v>8</v>
      </c>
      <c r="J26" s="306">
        <v>6</v>
      </c>
      <c r="K26" s="305">
        <v>5</v>
      </c>
      <c r="L26" s="307"/>
      <c r="M26" s="308">
        <f t="shared" si="14"/>
        <v>85</v>
      </c>
      <c r="N26" s="315">
        <f>SUM(G26:L26)</f>
        <v>24</v>
      </c>
      <c r="O26" s="283" t="str">
        <f t="shared" ref="O26:O32" si="15">IF(M26&gt;102,"Yes","NO")</f>
        <v>NO</v>
      </c>
      <c r="P26" s="284" t="str">
        <f t="shared" si="12"/>
        <v/>
      </c>
      <c r="Q26" s="12"/>
      <c r="R26" s="157" t="str">
        <f t="shared" ref="R26:R32" si="16">IF(M26=0," ",IF(N26&lt;&gt;24,"ERROR!"," "))</f>
        <v xml:space="preserve"> </v>
      </c>
      <c r="S26" s="12"/>
    </row>
    <row r="27" spans="1:19" ht="15.75">
      <c r="A27" s="29" t="s">
        <v>101</v>
      </c>
      <c r="B27" s="207">
        <v>1850</v>
      </c>
      <c r="C27" s="73" t="s">
        <v>200</v>
      </c>
      <c r="D27" s="154" t="s">
        <v>9</v>
      </c>
      <c r="E27" s="50" t="s">
        <v>5</v>
      </c>
      <c r="F27" s="51"/>
      <c r="G27" s="301">
        <v>0</v>
      </c>
      <c r="H27" s="301">
        <v>4</v>
      </c>
      <c r="I27" s="301">
        <v>8</v>
      </c>
      <c r="J27" s="301">
        <v>8</v>
      </c>
      <c r="K27" s="302">
        <v>4</v>
      </c>
      <c r="L27" s="261"/>
      <c r="M27" s="262">
        <f t="shared" si="14"/>
        <v>84</v>
      </c>
      <c r="N27" s="263">
        <f t="shared" si="2"/>
        <v>24</v>
      </c>
      <c r="O27" s="283" t="str">
        <f t="shared" si="15"/>
        <v>NO</v>
      </c>
      <c r="P27" s="284" t="str">
        <f t="shared" si="12"/>
        <v/>
      </c>
      <c r="Q27" s="12"/>
      <c r="R27" s="157" t="str">
        <f t="shared" si="16"/>
        <v xml:space="preserve"> </v>
      </c>
      <c r="S27" s="12"/>
    </row>
    <row r="28" spans="1:19" ht="15.75">
      <c r="A28" s="29" t="s">
        <v>101</v>
      </c>
      <c r="B28" s="207">
        <v>1172</v>
      </c>
      <c r="C28" s="73" t="s">
        <v>256</v>
      </c>
      <c r="D28" s="154" t="s">
        <v>7</v>
      </c>
      <c r="E28" s="50" t="s">
        <v>5</v>
      </c>
      <c r="F28" s="51" t="e">
        <f>VLOOKUP(E28,$Y$7:$Z$9,2,FALSE)</f>
        <v>#N/A</v>
      </c>
      <c r="G28" s="301">
        <v>0</v>
      </c>
      <c r="H28" s="301">
        <v>1</v>
      </c>
      <c r="I28" s="301">
        <v>7</v>
      </c>
      <c r="J28" s="301">
        <v>12</v>
      </c>
      <c r="K28" s="302">
        <v>2</v>
      </c>
      <c r="L28" s="261">
        <v>2</v>
      </c>
      <c r="M28" s="262">
        <f t="shared" si="14"/>
        <v>73</v>
      </c>
      <c r="N28" s="263">
        <f t="shared" si="2"/>
        <v>24</v>
      </c>
      <c r="O28" s="283" t="str">
        <f t="shared" si="15"/>
        <v>NO</v>
      </c>
      <c r="P28" s="284" t="str">
        <f t="shared" si="12"/>
        <v/>
      </c>
      <c r="Q28" s="12"/>
      <c r="R28" s="157" t="str">
        <f t="shared" si="16"/>
        <v xml:space="preserve"> </v>
      </c>
      <c r="S28" s="12"/>
    </row>
    <row r="29" spans="1:19" ht="15.75">
      <c r="A29" s="29" t="s">
        <v>101</v>
      </c>
      <c r="B29" s="207">
        <v>2521</v>
      </c>
      <c r="C29" s="73" t="s">
        <v>211</v>
      </c>
      <c r="D29" s="154" t="s">
        <v>9</v>
      </c>
      <c r="E29" s="50" t="s">
        <v>5</v>
      </c>
      <c r="F29" s="51" t="e">
        <f>VLOOKUP(E29,$Y$7:$Z$9,2,FALSE)</f>
        <v>#N/A</v>
      </c>
      <c r="G29" s="301"/>
      <c r="H29" s="301">
        <v>1</v>
      </c>
      <c r="I29" s="301">
        <v>7</v>
      </c>
      <c r="J29" s="301">
        <v>7</v>
      </c>
      <c r="K29" s="302">
        <v>8</v>
      </c>
      <c r="L29" s="261">
        <v>1</v>
      </c>
      <c r="M29" s="262">
        <f t="shared" si="14"/>
        <v>70</v>
      </c>
      <c r="N29" s="263">
        <f t="shared" si="2"/>
        <v>24</v>
      </c>
      <c r="O29" s="283" t="str">
        <f t="shared" si="15"/>
        <v>NO</v>
      </c>
      <c r="P29" s="284" t="str">
        <f t="shared" si="12"/>
        <v/>
      </c>
      <c r="Q29" s="12"/>
      <c r="R29" s="157" t="str">
        <f t="shared" si="16"/>
        <v xml:space="preserve"> </v>
      </c>
      <c r="S29" s="12"/>
    </row>
    <row r="30" spans="1:19" ht="15.75">
      <c r="A30" s="29" t="s">
        <v>101</v>
      </c>
      <c r="B30" s="183">
        <v>1050</v>
      </c>
      <c r="C30" s="73" t="s">
        <v>80</v>
      </c>
      <c r="D30" s="73" t="s">
        <v>9</v>
      </c>
      <c r="E30" s="50" t="s">
        <v>5</v>
      </c>
      <c r="F30" s="51" t="e">
        <f>VLOOKUP(E30,$Y$7:$Z$9,2,FALSE)</f>
        <v>#N/A</v>
      </c>
      <c r="G30" s="301">
        <v>0</v>
      </c>
      <c r="H30" s="301">
        <v>2</v>
      </c>
      <c r="I30" s="301">
        <v>5</v>
      </c>
      <c r="J30" s="301">
        <v>3</v>
      </c>
      <c r="K30" s="302">
        <v>14</v>
      </c>
      <c r="L30" s="261"/>
      <c r="M30" s="262">
        <f t="shared" si="14"/>
        <v>67</v>
      </c>
      <c r="N30" s="263">
        <f t="shared" si="2"/>
        <v>24</v>
      </c>
      <c r="O30" s="283" t="str">
        <f t="shared" si="15"/>
        <v>NO</v>
      </c>
      <c r="P30" s="284" t="str">
        <f t="shared" si="12"/>
        <v/>
      </c>
      <c r="Q30" s="12"/>
      <c r="R30" s="157" t="str">
        <f t="shared" si="16"/>
        <v xml:space="preserve"> </v>
      </c>
      <c r="S30" s="12"/>
    </row>
    <row r="31" spans="1:19" ht="15.75">
      <c r="A31" s="29" t="s">
        <v>101</v>
      </c>
      <c r="B31" s="183">
        <v>1052</v>
      </c>
      <c r="C31" s="709" t="s">
        <v>75</v>
      </c>
      <c r="D31" s="154" t="s">
        <v>9</v>
      </c>
      <c r="E31" s="50" t="s">
        <v>5</v>
      </c>
      <c r="F31" s="51" t="e">
        <f>VLOOKUP(E31,$Y$7:$Z$9,2,FALSE)</f>
        <v>#N/A</v>
      </c>
      <c r="G31" s="301"/>
      <c r="H31" s="301"/>
      <c r="I31" s="301">
        <v>6</v>
      </c>
      <c r="J31" s="301">
        <v>6</v>
      </c>
      <c r="K31" s="302">
        <v>11</v>
      </c>
      <c r="L31" s="261">
        <v>1</v>
      </c>
      <c r="M31" s="262">
        <f t="shared" si="14"/>
        <v>64</v>
      </c>
      <c r="N31" s="263">
        <f t="shared" si="2"/>
        <v>24</v>
      </c>
      <c r="O31" s="283" t="str">
        <f t="shared" si="15"/>
        <v>NO</v>
      </c>
      <c r="P31" s="284" t="str">
        <f t="shared" si="12"/>
        <v/>
      </c>
      <c r="Q31" s="12"/>
      <c r="R31" s="157" t="str">
        <f t="shared" si="16"/>
        <v xml:space="preserve"> </v>
      </c>
      <c r="S31" s="12"/>
    </row>
    <row r="32" spans="1:19" ht="16.5" thickBot="1">
      <c r="A32" s="29" t="s">
        <v>101</v>
      </c>
      <c r="B32" s="207">
        <v>168</v>
      </c>
      <c r="C32" s="73" t="s">
        <v>83</v>
      </c>
      <c r="D32" s="154" t="s">
        <v>7</v>
      </c>
      <c r="E32" s="50" t="s">
        <v>5</v>
      </c>
      <c r="F32" s="51" t="e">
        <f>VLOOKUP(E32,$Y$7:$Z$9,2,FALSE)</f>
        <v>#N/A</v>
      </c>
      <c r="G32" s="184">
        <v>0</v>
      </c>
      <c r="H32" s="184">
        <v>0</v>
      </c>
      <c r="I32" s="184">
        <v>0</v>
      </c>
      <c r="J32" s="184">
        <v>9</v>
      </c>
      <c r="K32" s="184">
        <v>14</v>
      </c>
      <c r="L32" s="261">
        <v>1</v>
      </c>
      <c r="M32" s="262">
        <f t="shared" si="14"/>
        <v>55</v>
      </c>
      <c r="N32" s="263">
        <f t="shared" si="2"/>
        <v>24</v>
      </c>
      <c r="O32" s="283" t="str">
        <f t="shared" si="15"/>
        <v>NO</v>
      </c>
      <c r="P32" s="284" t="str">
        <f t="shared" si="12"/>
        <v/>
      </c>
      <c r="Q32" s="12"/>
      <c r="R32" s="157" t="str">
        <f t="shared" si="16"/>
        <v xml:space="preserve"> </v>
      </c>
      <c r="S32" s="12"/>
    </row>
    <row r="33" spans="1:19" ht="19.5" thickBot="1">
      <c r="A33" s="3"/>
      <c r="B33" s="210">
        <f>COUNT(B8:B32)</f>
        <v>25</v>
      </c>
      <c r="C33" s="1466" t="s">
        <v>32</v>
      </c>
      <c r="D33" s="1467"/>
      <c r="E33" s="1458" t="s">
        <v>96</v>
      </c>
      <c r="F33" s="1459"/>
      <c r="G33" s="1459"/>
      <c r="H33" s="1459"/>
      <c r="I33" s="1459"/>
      <c r="J33" s="1459"/>
      <c r="K33" s="1459"/>
      <c r="L33" s="1459"/>
      <c r="M33" s="1459"/>
      <c r="N33" s="1459"/>
      <c r="O33" s="1459"/>
      <c r="P33" s="1460"/>
      <c r="Q33" s="12"/>
      <c r="R33" s="12"/>
      <c r="S33" s="12"/>
    </row>
  </sheetData>
  <sortState ref="B25:M33">
    <sortCondition descending="1" ref="M24"/>
  </sortState>
  <mergeCells count="6">
    <mergeCell ref="A2:S2"/>
    <mergeCell ref="B4:S4"/>
    <mergeCell ref="C6:L6"/>
    <mergeCell ref="O8:P9"/>
    <mergeCell ref="C33:D33"/>
    <mergeCell ref="E33:P3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9" workbookViewId="0">
      <selection activeCell="D42" sqref="D42"/>
    </sheetView>
  </sheetViews>
  <sheetFormatPr defaultRowHeight="15"/>
  <cols>
    <col min="1" max="1" width="5.85546875" customWidth="1"/>
    <col min="2" max="2" width="8.42578125" customWidth="1"/>
    <col min="3" max="3" width="26.7109375" customWidth="1"/>
    <col min="6" max="6" width="0" hidden="1" customWidth="1"/>
  </cols>
  <sheetData>
    <row r="1" spans="1:20" ht="15.75" thickBot="1"/>
    <row r="2" spans="1:20" ht="24" thickBot="1">
      <c r="A2" s="1419" t="s">
        <v>210</v>
      </c>
      <c r="B2" s="1420"/>
      <c r="C2" s="1420"/>
      <c r="D2" s="1420"/>
      <c r="E2" s="1420"/>
      <c r="F2" s="1420"/>
      <c r="G2" s="1420"/>
      <c r="H2" s="1420"/>
      <c r="I2" s="1420"/>
      <c r="J2" s="1420"/>
      <c r="K2" s="1420"/>
      <c r="L2" s="1420"/>
      <c r="M2" s="1420"/>
      <c r="N2" s="1420"/>
      <c r="O2" s="1420"/>
      <c r="P2" s="1420"/>
      <c r="Q2" s="1420"/>
      <c r="R2" s="1420"/>
      <c r="S2" s="1421"/>
      <c r="T2" s="232"/>
    </row>
    <row r="3" spans="1:20" ht="16.5" thickBot="1">
      <c r="A3" s="3"/>
      <c r="B3" s="4"/>
      <c r="C3" s="5"/>
      <c r="D3" s="5"/>
      <c r="E3" s="6"/>
      <c r="F3" s="5"/>
      <c r="G3" s="7"/>
      <c r="H3" s="7"/>
      <c r="I3" s="7"/>
      <c r="J3" s="7"/>
      <c r="K3" s="7"/>
      <c r="L3" s="8"/>
      <c r="M3" s="9"/>
      <c r="N3" s="8"/>
      <c r="O3" s="10"/>
      <c r="P3" s="11"/>
      <c r="Q3" s="12"/>
      <c r="R3" s="12"/>
      <c r="S3" s="12"/>
      <c r="T3" s="12"/>
    </row>
    <row r="4" spans="1:20" ht="24" thickBot="1">
      <c r="A4" s="13"/>
      <c r="B4" s="1422" t="s">
        <v>16</v>
      </c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  <c r="O4" s="1423"/>
      <c r="P4" s="1423"/>
      <c r="Q4" s="1423"/>
      <c r="R4" s="1423"/>
      <c r="S4" s="1424"/>
      <c r="T4" s="13"/>
    </row>
    <row r="5" spans="1:20" ht="16.5" thickBot="1">
      <c r="A5" s="3"/>
      <c r="B5" s="4"/>
      <c r="C5" s="5"/>
      <c r="D5" s="5"/>
      <c r="E5" s="6"/>
      <c r="F5" s="5"/>
      <c r="G5" s="7"/>
      <c r="H5" s="7"/>
      <c r="I5" s="7"/>
      <c r="J5" s="7"/>
      <c r="K5" s="7"/>
      <c r="L5" s="8"/>
      <c r="M5" s="9"/>
      <c r="N5" s="8"/>
      <c r="O5" s="10"/>
      <c r="P5" s="11"/>
      <c r="Q5" s="12"/>
      <c r="R5" s="12"/>
      <c r="S5" s="12"/>
      <c r="T5" s="12"/>
    </row>
    <row r="6" spans="1:20" ht="27" thickBot="1">
      <c r="A6" s="3"/>
      <c r="B6" s="4"/>
      <c r="C6" s="1415" t="s">
        <v>104</v>
      </c>
      <c r="D6" s="1416"/>
      <c r="E6" s="1416"/>
      <c r="F6" s="1416"/>
      <c r="G6" s="1416"/>
      <c r="H6" s="1416"/>
      <c r="I6" s="1416"/>
      <c r="J6" s="1416"/>
      <c r="K6" s="1416"/>
      <c r="L6" s="1416"/>
      <c r="M6" s="1416"/>
      <c r="N6" s="1416"/>
      <c r="O6" s="1417"/>
      <c r="P6" s="328"/>
      <c r="Q6" s="5"/>
      <c r="R6" s="12"/>
      <c r="S6" s="12"/>
      <c r="T6" s="5"/>
    </row>
    <row r="7" spans="1:20" ht="32.25" thickBot="1">
      <c r="A7" s="3"/>
      <c r="B7" s="165" t="s">
        <v>185</v>
      </c>
      <c r="C7" s="19" t="s">
        <v>19</v>
      </c>
      <c r="D7" s="233" t="s">
        <v>20</v>
      </c>
      <c r="E7" s="234" t="s">
        <v>21</v>
      </c>
      <c r="F7" s="235"/>
      <c r="G7" s="167" t="s">
        <v>22</v>
      </c>
      <c r="H7" s="168">
        <v>10</v>
      </c>
      <c r="I7" s="168">
        <v>9</v>
      </c>
      <c r="J7" s="168">
        <v>8</v>
      </c>
      <c r="K7" s="168">
        <v>7</v>
      </c>
      <c r="L7" s="169">
        <v>6</v>
      </c>
      <c r="M7" s="170">
        <v>5</v>
      </c>
      <c r="N7" s="171">
        <v>0</v>
      </c>
      <c r="O7" s="329" t="s">
        <v>23</v>
      </c>
      <c r="P7" s="330" t="s">
        <v>39</v>
      </c>
      <c r="Q7" s="175"/>
      <c r="R7" s="103" t="s">
        <v>25</v>
      </c>
      <c r="S7" s="146" t="s">
        <v>26</v>
      </c>
      <c r="T7" s="85" t="s">
        <v>27</v>
      </c>
    </row>
    <row r="8" spans="1:20" ht="18.75">
      <c r="A8" s="29" t="s">
        <v>105</v>
      </c>
      <c r="B8" s="272">
        <v>1465</v>
      </c>
      <c r="C8" s="64" t="s">
        <v>30</v>
      </c>
      <c r="D8" s="177" t="s">
        <v>14</v>
      </c>
      <c r="E8" s="32" t="s">
        <v>15</v>
      </c>
      <c r="F8" s="33" t="e">
        <f>VLOOKUP(E8,$Y$7:$Z$9,2,FALSE)</f>
        <v>#N/A</v>
      </c>
      <c r="G8" s="298">
        <v>6</v>
      </c>
      <c r="H8" s="298">
        <v>16</v>
      </c>
      <c r="I8" s="298">
        <v>8</v>
      </c>
      <c r="J8" s="298"/>
      <c r="K8" s="298"/>
      <c r="L8" s="179"/>
      <c r="M8" s="179"/>
      <c r="N8" s="331"/>
      <c r="O8" s="240">
        <f t="shared" ref="O8:O26" si="0">(G8*10)+(H8*10)+(I8*9)+(J8*8)+(K8*7)+(L8*6)+(M8*5)</f>
        <v>292</v>
      </c>
      <c r="P8" s="332">
        <f>SUM(G8:N8)</f>
        <v>30</v>
      </c>
      <c r="Q8" s="5"/>
      <c r="R8" s="336"/>
      <c r="S8" s="333"/>
      <c r="T8" s="157" t="str">
        <f>IF(O8=0," ",IF(P8&lt;&gt;30,"ERROR!"," "))</f>
        <v xml:space="preserve"> </v>
      </c>
    </row>
    <row r="9" spans="1:20" ht="19.5" thickBot="1">
      <c r="A9" s="29" t="s">
        <v>105</v>
      </c>
      <c r="B9" s="207">
        <v>2434</v>
      </c>
      <c r="C9" s="73" t="s">
        <v>53</v>
      </c>
      <c r="D9" s="154" t="s">
        <v>9</v>
      </c>
      <c r="E9" s="50" t="s">
        <v>15</v>
      </c>
      <c r="F9" s="51" t="e">
        <f>VLOOKUP(E9,$Y$7:$Z$9,2,FALSE)</f>
        <v>#N/A</v>
      </c>
      <c r="G9" s="301">
        <v>16</v>
      </c>
      <c r="H9" s="301">
        <v>10</v>
      </c>
      <c r="I9" s="301">
        <v>2</v>
      </c>
      <c r="J9" s="301"/>
      <c r="K9" s="301"/>
      <c r="L9" s="185"/>
      <c r="M9" s="185"/>
      <c r="N9" s="334">
        <v>2</v>
      </c>
      <c r="O9" s="246">
        <f t="shared" si="0"/>
        <v>278</v>
      </c>
      <c r="P9" s="836">
        <f>SUM(G9:N9)</f>
        <v>30</v>
      </c>
      <c r="Q9" s="154"/>
      <c r="R9" s="837"/>
      <c r="S9" s="840"/>
      <c r="T9" s="56"/>
    </row>
    <row r="10" spans="1:20" ht="18.75">
      <c r="A10" s="29" t="s">
        <v>105</v>
      </c>
      <c r="B10" s="272">
        <v>2296</v>
      </c>
      <c r="C10" s="64" t="s">
        <v>233</v>
      </c>
      <c r="D10" s="177" t="s">
        <v>11</v>
      </c>
      <c r="E10" s="32" t="s">
        <v>3</v>
      </c>
      <c r="F10" s="33" t="e">
        <f>VLOOKUP(E10,$Y$7:$Z$9,2,FALSE)</f>
        <v>#N/A</v>
      </c>
      <c r="G10" s="902">
        <v>7</v>
      </c>
      <c r="H10" s="902">
        <v>19</v>
      </c>
      <c r="I10" s="902">
        <v>3</v>
      </c>
      <c r="J10" s="902">
        <v>1</v>
      </c>
      <c r="K10" s="902">
        <v>0</v>
      </c>
      <c r="L10" s="902">
        <v>0</v>
      </c>
      <c r="M10" s="902">
        <v>0</v>
      </c>
      <c r="N10" s="915">
        <v>0</v>
      </c>
      <c r="O10" s="240">
        <f t="shared" si="0"/>
        <v>295</v>
      </c>
      <c r="P10" s="332">
        <f t="shared" ref="P10:P27" si="1">SUM(G10:N10)</f>
        <v>30</v>
      </c>
      <c r="Q10" s="956"/>
      <c r="R10" s="838"/>
      <c r="S10" s="839"/>
      <c r="T10" s="56" t="str">
        <f>IF(O10=0," ",IF(P10&lt;&gt;30,"ERROR!"," "))</f>
        <v xml:space="preserve"> </v>
      </c>
    </row>
    <row r="11" spans="1:20" ht="18.75">
      <c r="A11" s="29" t="s">
        <v>105</v>
      </c>
      <c r="B11" s="207">
        <v>1569</v>
      </c>
      <c r="C11" s="73" t="s">
        <v>220</v>
      </c>
      <c r="D11" s="154" t="s">
        <v>9</v>
      </c>
      <c r="E11" s="50" t="s">
        <v>3</v>
      </c>
      <c r="F11" s="51"/>
      <c r="G11" s="301">
        <v>10</v>
      </c>
      <c r="H11" s="301">
        <v>11</v>
      </c>
      <c r="I11" s="301">
        <v>9</v>
      </c>
      <c r="J11" s="301"/>
      <c r="K11" s="301"/>
      <c r="L11" s="185"/>
      <c r="M11" s="185"/>
      <c r="N11" s="334"/>
      <c r="O11" s="246">
        <f>(G11*10)+(H11*10)+(I11*9)+(J11*8)+(K11*7)+(L11*6)+(M11*5)</f>
        <v>291</v>
      </c>
      <c r="P11" s="241">
        <f t="shared" ref="P11" si="2">SUM(G11:N11)</f>
        <v>30</v>
      </c>
      <c r="Q11" s="957"/>
      <c r="R11" s="837"/>
      <c r="S11" s="840"/>
      <c r="T11" s="56"/>
    </row>
    <row r="12" spans="1:20" ht="18.75">
      <c r="A12" s="29" t="s">
        <v>105</v>
      </c>
      <c r="B12" s="207">
        <v>1798</v>
      </c>
      <c r="C12" s="73" t="s">
        <v>72</v>
      </c>
      <c r="D12" s="154" t="s">
        <v>7</v>
      </c>
      <c r="E12" s="50" t="s">
        <v>3</v>
      </c>
      <c r="F12" s="51" t="e">
        <f>VLOOKUP(E12,$Y$7:$Z$9,2,FALSE)</f>
        <v>#N/A</v>
      </c>
      <c r="G12" s="320">
        <v>10</v>
      </c>
      <c r="H12" s="320">
        <v>10</v>
      </c>
      <c r="I12" s="320">
        <v>10</v>
      </c>
      <c r="J12" s="320"/>
      <c r="K12" s="320"/>
      <c r="L12" s="215"/>
      <c r="M12" s="215"/>
      <c r="N12" s="216"/>
      <c r="O12" s="246">
        <f>(G12*10)+(H12*10)+(I12*9)+(J12*8)+(K12*7)+(L12*6)+(M12*5)</f>
        <v>290</v>
      </c>
      <c r="P12" s="241">
        <f t="shared" si="1"/>
        <v>30</v>
      </c>
      <c r="Q12" s="957"/>
      <c r="R12" s="837"/>
      <c r="S12" s="840"/>
      <c r="T12" s="56" t="str">
        <f>IF(O12=0," ",IF(P12&lt;&gt;30,"ERROR!"," "))</f>
        <v xml:space="preserve"> </v>
      </c>
    </row>
    <row r="13" spans="1:20" ht="18.75">
      <c r="A13" s="29" t="s">
        <v>105</v>
      </c>
      <c r="B13" s="207">
        <v>2138</v>
      </c>
      <c r="C13" s="73" t="s">
        <v>214</v>
      </c>
      <c r="D13" s="154" t="s">
        <v>9</v>
      </c>
      <c r="E13" s="50" t="s">
        <v>3</v>
      </c>
      <c r="F13" s="51" t="e">
        <f>VLOOKUP(E13,$Y$7:$Z$9,2,FALSE)</f>
        <v>#N/A</v>
      </c>
      <c r="G13" s="320">
        <v>8</v>
      </c>
      <c r="H13" s="320">
        <v>9</v>
      </c>
      <c r="I13" s="320">
        <v>12</v>
      </c>
      <c r="J13" s="320">
        <v>1</v>
      </c>
      <c r="K13" s="320"/>
      <c r="L13" s="215"/>
      <c r="M13" s="215"/>
      <c r="N13" s="341"/>
      <c r="O13" s="246">
        <f>(G13*10)+(H13*10)+(I13*9)+(J13*8)+(K13*7)+(L13*6)+(M13*5)</f>
        <v>286</v>
      </c>
      <c r="P13" s="241">
        <f t="shared" ref="P13" si="3">SUM(G13:N13)</f>
        <v>30</v>
      </c>
      <c r="Q13" s="957"/>
      <c r="R13" s="837"/>
      <c r="S13" s="840"/>
      <c r="T13" s="56"/>
    </row>
    <row r="14" spans="1:20" ht="18.75">
      <c r="A14" s="29" t="s">
        <v>105</v>
      </c>
      <c r="B14" s="207">
        <v>1314</v>
      </c>
      <c r="C14" s="73" t="s">
        <v>37</v>
      </c>
      <c r="D14" s="154" t="s">
        <v>12</v>
      </c>
      <c r="E14" s="50" t="s">
        <v>3</v>
      </c>
      <c r="F14" s="51">
        <v>4</v>
      </c>
      <c r="G14" s="301">
        <v>3</v>
      </c>
      <c r="H14" s="301">
        <v>13</v>
      </c>
      <c r="I14" s="301">
        <v>10</v>
      </c>
      <c r="J14" s="301">
        <v>3</v>
      </c>
      <c r="K14" s="301"/>
      <c r="L14" s="185"/>
      <c r="M14" s="185"/>
      <c r="N14" s="334">
        <v>1</v>
      </c>
      <c r="O14" s="246">
        <f>(G14*10)+(H14*10)+(I14*9)+(J14*8)+(K14*7)+(L14*6)+(M14*5)</f>
        <v>274</v>
      </c>
      <c r="P14" s="241">
        <f>SUM(G14:N14)</f>
        <v>30</v>
      </c>
      <c r="Q14" s="957"/>
      <c r="R14" s="837"/>
      <c r="S14" s="840"/>
      <c r="T14" s="56"/>
    </row>
    <row r="15" spans="1:20" ht="19.5" thickBot="1">
      <c r="A15" s="29" t="s">
        <v>105</v>
      </c>
      <c r="B15" s="207">
        <v>1477</v>
      </c>
      <c r="C15" s="73" t="s">
        <v>268</v>
      </c>
      <c r="D15" s="154" t="s">
        <v>14</v>
      </c>
      <c r="E15" s="50" t="s">
        <v>3</v>
      </c>
      <c r="F15" s="51" t="e">
        <f t="shared" ref="F15:F22" si="4">VLOOKUP(E15,$Y$7:$Z$9,2,FALSE)</f>
        <v>#N/A</v>
      </c>
      <c r="G15" s="301">
        <v>10</v>
      </c>
      <c r="H15" s="301">
        <v>11</v>
      </c>
      <c r="I15" s="301">
        <v>5</v>
      </c>
      <c r="J15" s="301">
        <v>2</v>
      </c>
      <c r="K15" s="301"/>
      <c r="L15" s="185"/>
      <c r="M15" s="185"/>
      <c r="N15" s="334">
        <v>2</v>
      </c>
      <c r="O15" s="246">
        <f>(G15*10)+(H15*10)+(I15*9)+(J15*8)+(K15*7)+(L15*6)+(M15*5)</f>
        <v>271</v>
      </c>
      <c r="P15" s="241">
        <f>SUM(G15:N15)</f>
        <v>30</v>
      </c>
      <c r="Q15" s="957"/>
      <c r="R15" s="837"/>
      <c r="S15" s="840"/>
      <c r="T15" s="56"/>
    </row>
    <row r="16" spans="1:20" ht="18.75">
      <c r="A16" s="29" t="s">
        <v>105</v>
      </c>
      <c r="B16" s="272">
        <v>1412</v>
      </c>
      <c r="C16" s="64" t="s">
        <v>196</v>
      </c>
      <c r="D16" s="177" t="s">
        <v>11</v>
      </c>
      <c r="E16" s="32" t="s">
        <v>4</v>
      </c>
      <c r="F16" s="33" t="e">
        <f t="shared" si="4"/>
        <v>#N/A</v>
      </c>
      <c r="G16" s="902">
        <v>11</v>
      </c>
      <c r="H16" s="902">
        <v>11</v>
      </c>
      <c r="I16" s="902">
        <v>8</v>
      </c>
      <c r="J16" s="902">
        <v>0</v>
      </c>
      <c r="K16" s="902">
        <v>0</v>
      </c>
      <c r="L16" s="902">
        <v>0</v>
      </c>
      <c r="M16" s="902">
        <v>0</v>
      </c>
      <c r="N16" s="902">
        <v>0</v>
      </c>
      <c r="O16" s="240">
        <f t="shared" si="0"/>
        <v>292</v>
      </c>
      <c r="P16" s="931">
        <f t="shared" ref="P16" si="5">SUM(G16:N16)</f>
        <v>30</v>
      </c>
      <c r="Q16" s="150"/>
      <c r="R16" s="197" t="str">
        <f t="shared" ref="R16" si="6">IF(O16&gt;297,"Yes","NO")</f>
        <v>NO</v>
      </c>
      <c r="S16" s="208"/>
      <c r="T16" s="157"/>
    </row>
    <row r="17" spans="1:20" ht="18.75">
      <c r="A17" s="29" t="s">
        <v>105</v>
      </c>
      <c r="B17" s="207">
        <v>2105</v>
      </c>
      <c r="C17" s="73" t="s">
        <v>227</v>
      </c>
      <c r="D17" s="154" t="s">
        <v>11</v>
      </c>
      <c r="E17" s="50" t="s">
        <v>4</v>
      </c>
      <c r="F17" s="51" t="e">
        <f t="shared" si="4"/>
        <v>#N/A</v>
      </c>
      <c r="G17" s="904">
        <v>8</v>
      </c>
      <c r="H17" s="904">
        <v>14</v>
      </c>
      <c r="I17" s="904">
        <v>6</v>
      </c>
      <c r="J17" s="904">
        <v>2</v>
      </c>
      <c r="K17" s="904">
        <v>0</v>
      </c>
      <c r="L17" s="904">
        <v>0</v>
      </c>
      <c r="M17" s="904">
        <v>0</v>
      </c>
      <c r="N17" s="906">
        <v>0</v>
      </c>
      <c r="O17" s="246">
        <f t="shared" ref="O17:O24" si="7">(G17*10)+(H17*10)+(I17*9)+(J17*8)+(K17*7)+(L17*6)+(M17*5)</f>
        <v>290</v>
      </c>
      <c r="P17" s="241">
        <f t="shared" ref="P17:P23" si="8">SUM(G17:N17)</f>
        <v>30</v>
      </c>
      <c r="Q17" s="151"/>
      <c r="R17" s="197" t="str">
        <f>IF(O17&gt;294,"Yes","NO")</f>
        <v>NO</v>
      </c>
      <c r="S17" s="208"/>
      <c r="T17" s="157"/>
    </row>
    <row r="18" spans="1:20" ht="18.75">
      <c r="A18" s="29" t="s">
        <v>105</v>
      </c>
      <c r="B18" s="281">
        <v>1264</v>
      </c>
      <c r="C18" s="40" t="s">
        <v>178</v>
      </c>
      <c r="D18" s="213" t="s">
        <v>7</v>
      </c>
      <c r="E18" s="42" t="s">
        <v>4</v>
      </c>
      <c r="F18" s="43" t="e">
        <f t="shared" si="4"/>
        <v>#N/A</v>
      </c>
      <c r="G18" s="320">
        <v>10</v>
      </c>
      <c r="H18" s="320">
        <v>11</v>
      </c>
      <c r="I18" s="320">
        <v>6</v>
      </c>
      <c r="J18" s="320">
        <v>3</v>
      </c>
      <c r="K18" s="320"/>
      <c r="L18" s="215"/>
      <c r="M18" s="215"/>
      <c r="N18" s="341"/>
      <c r="O18" s="246">
        <f t="shared" si="7"/>
        <v>288</v>
      </c>
      <c r="P18" s="241">
        <f t="shared" si="8"/>
        <v>30</v>
      </c>
      <c r="Q18" s="150"/>
      <c r="R18" s="197" t="str">
        <f>IF(O18&gt;297,"Yes","NO")</f>
        <v>NO</v>
      </c>
      <c r="S18" s="208"/>
      <c r="T18" s="157"/>
    </row>
    <row r="19" spans="1:20" ht="18.75">
      <c r="A19" s="29" t="s">
        <v>105</v>
      </c>
      <c r="B19" s="281">
        <v>1268</v>
      </c>
      <c r="C19" s="40" t="s">
        <v>202</v>
      </c>
      <c r="D19" s="213" t="s">
        <v>9</v>
      </c>
      <c r="E19" s="42" t="s">
        <v>4</v>
      </c>
      <c r="F19" s="43" t="e">
        <f t="shared" si="4"/>
        <v>#N/A</v>
      </c>
      <c r="G19" s="320">
        <v>6</v>
      </c>
      <c r="H19" s="320">
        <v>12</v>
      </c>
      <c r="I19" s="320">
        <v>11</v>
      </c>
      <c r="J19" s="320">
        <v>0</v>
      </c>
      <c r="K19" s="320">
        <v>1</v>
      </c>
      <c r="L19" s="215"/>
      <c r="M19" s="215"/>
      <c r="N19" s="216"/>
      <c r="O19" s="246">
        <f t="shared" si="7"/>
        <v>286</v>
      </c>
      <c r="P19" s="241">
        <f t="shared" ref="P19" si="9">SUM(G19:N19)</f>
        <v>30</v>
      </c>
      <c r="Q19" s="150"/>
      <c r="R19" s="197" t="str">
        <f>IF(O19&gt;297,"Yes","NO")</f>
        <v>NO</v>
      </c>
      <c r="S19" s="208"/>
      <c r="T19" s="157"/>
    </row>
    <row r="20" spans="1:20" ht="18.75">
      <c r="A20" s="29" t="s">
        <v>105</v>
      </c>
      <c r="B20" s="207">
        <v>3623</v>
      </c>
      <c r="C20" s="73" t="s">
        <v>69</v>
      </c>
      <c r="D20" s="154" t="s">
        <v>7</v>
      </c>
      <c r="E20" s="50" t="s">
        <v>4</v>
      </c>
      <c r="F20" s="51" t="e">
        <f t="shared" si="4"/>
        <v>#N/A</v>
      </c>
      <c r="G20" s="301">
        <v>2</v>
      </c>
      <c r="H20" s="301">
        <v>14</v>
      </c>
      <c r="I20" s="301">
        <v>13</v>
      </c>
      <c r="J20" s="301">
        <v>1</v>
      </c>
      <c r="K20" s="301"/>
      <c r="L20" s="185"/>
      <c r="M20" s="185"/>
      <c r="N20" s="334"/>
      <c r="O20" s="246">
        <f t="shared" si="7"/>
        <v>285</v>
      </c>
      <c r="P20" s="241">
        <f t="shared" si="8"/>
        <v>30</v>
      </c>
      <c r="Q20" s="150"/>
      <c r="R20" s="197" t="str">
        <f>IF(O20&gt;297,"Yes","NO")</f>
        <v>NO</v>
      </c>
      <c r="S20" s="208" t="str">
        <f>IF(R20="yes","HM","")</f>
        <v/>
      </c>
      <c r="T20" s="157" t="str">
        <f t="shared" ref="T20:T21" si="10">IF(O20=0," ",IF(P20&lt;&gt;30,"ERROR!"," "))</f>
        <v xml:space="preserve"> </v>
      </c>
    </row>
    <row r="21" spans="1:20" ht="18.75">
      <c r="A21" s="342" t="s">
        <v>105</v>
      </c>
      <c r="B21" s="207">
        <v>1143</v>
      </c>
      <c r="C21" s="73" t="s">
        <v>59</v>
      </c>
      <c r="D21" s="154" t="s">
        <v>9</v>
      </c>
      <c r="E21" s="50" t="s">
        <v>4</v>
      </c>
      <c r="F21" s="51" t="e">
        <f t="shared" si="4"/>
        <v>#N/A</v>
      </c>
      <c r="G21" s="301">
        <v>1</v>
      </c>
      <c r="H21" s="301">
        <v>12</v>
      </c>
      <c r="I21" s="301">
        <v>15</v>
      </c>
      <c r="J21" s="301">
        <v>2</v>
      </c>
      <c r="K21" s="301"/>
      <c r="L21" s="185"/>
      <c r="M21" s="185"/>
      <c r="N21" s="334"/>
      <c r="O21" s="246">
        <f t="shared" si="7"/>
        <v>281</v>
      </c>
      <c r="P21" s="344">
        <f t="shared" si="8"/>
        <v>30</v>
      </c>
      <c r="Q21" s="345"/>
      <c r="R21" s="346" t="str">
        <f>IF(O21&gt;297,"Yes","NO")</f>
        <v>NO</v>
      </c>
      <c r="S21" s="347" t="str">
        <f>IF(R21="yes","HM","")</f>
        <v/>
      </c>
      <c r="T21" s="348" t="str">
        <f t="shared" si="10"/>
        <v xml:space="preserve"> </v>
      </c>
    </row>
    <row r="22" spans="1:20" ht="18.75">
      <c r="A22" s="29" t="s">
        <v>105</v>
      </c>
      <c r="B22" s="207">
        <v>2786</v>
      </c>
      <c r="C22" s="73" t="s">
        <v>48</v>
      </c>
      <c r="D22" s="154" t="s">
        <v>14</v>
      </c>
      <c r="E22" s="50" t="s">
        <v>4</v>
      </c>
      <c r="F22" s="51" t="e">
        <f t="shared" si="4"/>
        <v>#N/A</v>
      </c>
      <c r="G22" s="320">
        <v>3</v>
      </c>
      <c r="H22" s="320">
        <v>11</v>
      </c>
      <c r="I22" s="320">
        <v>13</v>
      </c>
      <c r="J22" s="320">
        <v>3</v>
      </c>
      <c r="K22" s="320"/>
      <c r="L22" s="215"/>
      <c r="M22" s="215"/>
      <c r="N22" s="216"/>
      <c r="O22" s="246">
        <f t="shared" si="7"/>
        <v>281</v>
      </c>
      <c r="P22" s="241">
        <f>SUM(G22:N22)</f>
        <v>30</v>
      </c>
      <c r="Q22" s="151"/>
      <c r="R22" s="197" t="str">
        <f>IF(O22&gt;294,"Yes","NO")</f>
        <v>NO</v>
      </c>
      <c r="S22" s="208"/>
      <c r="T22" s="157"/>
    </row>
    <row r="23" spans="1:20" ht="18.75">
      <c r="A23" s="29" t="s">
        <v>105</v>
      </c>
      <c r="B23" s="958">
        <v>2337</v>
      </c>
      <c r="C23" s="130" t="s">
        <v>234</v>
      </c>
      <c r="D23" s="959" t="s">
        <v>11</v>
      </c>
      <c r="E23" s="106" t="s">
        <v>4</v>
      </c>
      <c r="F23" s="107">
        <v>3</v>
      </c>
      <c r="G23" s="904">
        <v>7</v>
      </c>
      <c r="H23" s="904">
        <v>8</v>
      </c>
      <c r="I23" s="904">
        <v>10</v>
      </c>
      <c r="J23" s="904">
        <v>4</v>
      </c>
      <c r="K23" s="904">
        <v>1</v>
      </c>
      <c r="L23" s="904">
        <v>0</v>
      </c>
      <c r="M23" s="904">
        <v>0</v>
      </c>
      <c r="N23" s="906">
        <v>0</v>
      </c>
      <c r="O23" s="246">
        <f t="shared" si="7"/>
        <v>279</v>
      </c>
      <c r="P23" s="241">
        <f t="shared" si="8"/>
        <v>30</v>
      </c>
      <c r="Q23" s="151"/>
      <c r="R23" s="197" t="str">
        <f>IF(O23&gt;284,"Yes","NO")</f>
        <v>NO</v>
      </c>
      <c r="S23" s="208"/>
      <c r="T23" s="157"/>
    </row>
    <row r="24" spans="1:20" ht="19.5" thickBot="1">
      <c r="A24" s="29" t="s">
        <v>105</v>
      </c>
      <c r="B24" s="289">
        <v>2144</v>
      </c>
      <c r="C24" s="130" t="s">
        <v>82</v>
      </c>
      <c r="D24" s="230" t="s">
        <v>14</v>
      </c>
      <c r="E24" s="106" t="s">
        <v>4</v>
      </c>
      <c r="F24" s="107" t="e">
        <f t="shared" ref="F24:F51" si="11">VLOOKUP(E24,$Y$7:$Z$9,2,FALSE)</f>
        <v>#N/A</v>
      </c>
      <c r="G24" s="317">
        <v>1</v>
      </c>
      <c r="H24" s="317">
        <v>7</v>
      </c>
      <c r="I24" s="317">
        <v>12</v>
      </c>
      <c r="J24" s="317">
        <v>5</v>
      </c>
      <c r="K24" s="317">
        <v>4</v>
      </c>
      <c r="L24" s="229"/>
      <c r="M24" s="229"/>
      <c r="N24" s="1130">
        <v>1</v>
      </c>
      <c r="O24" s="1327">
        <f t="shared" si="7"/>
        <v>256</v>
      </c>
      <c r="P24" s="874">
        <f t="shared" si="1"/>
        <v>30</v>
      </c>
      <c r="Q24" s="151"/>
      <c r="R24" s="202" t="str">
        <f t="shared" ref="R24" si="12">IF(O24&gt;297,"Yes","NO")</f>
        <v>NO</v>
      </c>
      <c r="S24" s="208" t="str">
        <f t="shared" ref="S24" si="13">IF(R24="yes","HM","")</f>
        <v/>
      </c>
      <c r="T24" s="157" t="str">
        <f t="shared" ref="T24:T28" si="14">IF(O24=0," ",IF(P24&lt;&gt;30,"ERROR!"," "))</f>
        <v xml:space="preserve"> </v>
      </c>
    </row>
    <row r="25" spans="1:20" ht="19.5" thickBot="1">
      <c r="A25" s="342" t="s">
        <v>105</v>
      </c>
      <c r="B25" s="1331">
        <v>2499</v>
      </c>
      <c r="C25" s="1332" t="s">
        <v>269</v>
      </c>
      <c r="D25" s="1332" t="s">
        <v>14</v>
      </c>
      <c r="E25" s="1333" t="s">
        <v>4</v>
      </c>
      <c r="F25" s="1334" t="e">
        <f t="shared" si="11"/>
        <v>#N/A</v>
      </c>
      <c r="G25" s="1335"/>
      <c r="H25" s="1335"/>
      <c r="I25" s="1335"/>
      <c r="J25" s="1335"/>
      <c r="K25" s="1335"/>
      <c r="L25" s="1336"/>
      <c r="M25" s="1336"/>
      <c r="N25" s="1337"/>
      <c r="O25" s="1338" t="s">
        <v>273</v>
      </c>
      <c r="P25" s="1339"/>
      <c r="Q25" s="1340"/>
      <c r="R25" s="1341"/>
      <c r="S25" s="1328"/>
      <c r="T25" s="348"/>
    </row>
    <row r="26" spans="1:20" ht="18.75">
      <c r="A26" s="29" t="s">
        <v>105</v>
      </c>
      <c r="B26" s="314">
        <v>1956</v>
      </c>
      <c r="C26" s="160" t="s">
        <v>47</v>
      </c>
      <c r="D26" s="162" t="s">
        <v>11</v>
      </c>
      <c r="E26" s="66" t="s">
        <v>6</v>
      </c>
      <c r="F26" s="67" t="e">
        <f t="shared" si="11"/>
        <v>#N/A</v>
      </c>
      <c r="G26" s="960">
        <v>4</v>
      </c>
      <c r="H26" s="960">
        <v>12</v>
      </c>
      <c r="I26" s="960">
        <v>11</v>
      </c>
      <c r="J26" s="960">
        <v>2</v>
      </c>
      <c r="K26" s="960">
        <v>1</v>
      </c>
      <c r="L26" s="960">
        <v>0</v>
      </c>
      <c r="M26" s="960">
        <v>0</v>
      </c>
      <c r="N26" s="961">
        <v>0</v>
      </c>
      <c r="O26" s="962">
        <f t="shared" si="0"/>
        <v>282</v>
      </c>
      <c r="P26" s="1329">
        <f>SUM(G26:N26)</f>
        <v>30</v>
      </c>
      <c r="Q26" s="1199"/>
      <c r="R26" s="1330" t="str">
        <f>IF(O26&gt;297,"Yes","NO")</f>
        <v>NO</v>
      </c>
      <c r="S26" s="203" t="str">
        <f>IF(R26="yes","HM","")</f>
        <v/>
      </c>
      <c r="T26" s="157" t="str">
        <f>IF(O26=0," ",IF(P26&lt;&gt;30,"ERROR!"," "))</f>
        <v xml:space="preserve"> </v>
      </c>
    </row>
    <row r="27" spans="1:20" ht="18.75">
      <c r="A27" s="29" t="s">
        <v>105</v>
      </c>
      <c r="B27" s="207">
        <v>1950</v>
      </c>
      <c r="C27" s="73" t="s">
        <v>226</v>
      </c>
      <c r="D27" s="154" t="s">
        <v>11</v>
      </c>
      <c r="E27" s="50" t="s">
        <v>6</v>
      </c>
      <c r="F27" s="51" t="e">
        <f t="shared" si="11"/>
        <v>#N/A</v>
      </c>
      <c r="G27" s="904">
        <v>3</v>
      </c>
      <c r="H27" s="904">
        <v>11</v>
      </c>
      <c r="I27" s="904">
        <v>12</v>
      </c>
      <c r="J27" s="904">
        <v>4</v>
      </c>
      <c r="K27" s="904">
        <v>0</v>
      </c>
      <c r="L27" s="904">
        <v>0</v>
      </c>
      <c r="M27" s="904">
        <v>0</v>
      </c>
      <c r="N27" s="906">
        <v>0</v>
      </c>
      <c r="O27" s="246">
        <f t="shared" ref="O27:O32" si="15">(G27*10)+(H27*10)+(I27*9)+(J27*8)+(K27*7)+(L27*6)+(M27*5)</f>
        <v>280</v>
      </c>
      <c r="P27" s="241">
        <f t="shared" si="1"/>
        <v>30</v>
      </c>
      <c r="Q27" s="150"/>
      <c r="R27" s="197" t="str">
        <f>IF(O27&gt;297,"Yes","NO")</f>
        <v>NO</v>
      </c>
      <c r="S27" s="208" t="str">
        <f>IF(R27="yes","HM","")</f>
        <v/>
      </c>
      <c r="T27" s="157" t="str">
        <f t="shared" si="14"/>
        <v xml:space="preserve"> </v>
      </c>
    </row>
    <row r="28" spans="1:20" ht="18.75">
      <c r="A28" s="29" t="s">
        <v>105</v>
      </c>
      <c r="B28" s="207">
        <v>709</v>
      </c>
      <c r="C28" s="73" t="s">
        <v>71</v>
      </c>
      <c r="D28" s="154" t="s">
        <v>9</v>
      </c>
      <c r="E28" s="50" t="s">
        <v>6</v>
      </c>
      <c r="F28" s="51" t="e">
        <f t="shared" si="11"/>
        <v>#N/A</v>
      </c>
      <c r="G28" s="900">
        <v>4</v>
      </c>
      <c r="H28" s="900">
        <v>8</v>
      </c>
      <c r="I28" s="900">
        <v>13</v>
      </c>
      <c r="J28" s="900">
        <v>3</v>
      </c>
      <c r="K28" s="900">
        <v>2</v>
      </c>
      <c r="L28" s="900"/>
      <c r="M28" s="900"/>
      <c r="N28" s="907"/>
      <c r="O28" s="246">
        <f t="shared" si="15"/>
        <v>275</v>
      </c>
      <c r="P28" s="241">
        <f>SUM(G28:N28)</f>
        <v>30</v>
      </c>
      <c r="Q28" s="151"/>
      <c r="R28" s="135" t="str">
        <f>IF(O28&gt;297,"Yes","NO")</f>
        <v>NO</v>
      </c>
      <c r="S28" s="337"/>
      <c r="T28" s="157" t="str">
        <f t="shared" si="14"/>
        <v xml:space="preserve"> </v>
      </c>
    </row>
    <row r="29" spans="1:20" ht="18.75">
      <c r="A29" s="29" t="s">
        <v>105</v>
      </c>
      <c r="B29" s="289">
        <v>1982</v>
      </c>
      <c r="C29" s="130" t="s">
        <v>77</v>
      </c>
      <c r="D29" s="230" t="s">
        <v>14</v>
      </c>
      <c r="E29" s="106" t="s">
        <v>6</v>
      </c>
      <c r="F29" s="107" t="e">
        <f t="shared" si="11"/>
        <v>#N/A</v>
      </c>
      <c r="G29" s="317">
        <v>3</v>
      </c>
      <c r="H29" s="317">
        <v>7</v>
      </c>
      <c r="I29" s="317">
        <v>14</v>
      </c>
      <c r="J29" s="317">
        <v>4</v>
      </c>
      <c r="K29" s="317">
        <v>2</v>
      </c>
      <c r="L29" s="229"/>
      <c r="M29" s="229"/>
      <c r="N29" s="1130"/>
      <c r="O29" s="246">
        <f t="shared" si="15"/>
        <v>272</v>
      </c>
      <c r="P29" s="241">
        <f t="shared" ref="P29" si="16">SUM(G29:N29)</f>
        <v>30</v>
      </c>
      <c r="Q29" s="151"/>
      <c r="R29" s="197" t="str">
        <f>IF(O29&gt;297,"Yes","NO")</f>
        <v>NO</v>
      </c>
      <c r="S29" s="208" t="str">
        <f>IF(R29="yes","HM","")</f>
        <v/>
      </c>
      <c r="T29" s="157"/>
    </row>
    <row r="30" spans="1:20" ht="18.75">
      <c r="A30" s="29" t="s">
        <v>105</v>
      </c>
      <c r="B30" s="289">
        <v>676</v>
      </c>
      <c r="C30" s="130" t="s">
        <v>229</v>
      </c>
      <c r="D30" s="230" t="s">
        <v>11</v>
      </c>
      <c r="E30" s="106" t="s">
        <v>6</v>
      </c>
      <c r="F30" s="107" t="e">
        <f t="shared" si="11"/>
        <v>#N/A</v>
      </c>
      <c r="G30" s="904">
        <v>2</v>
      </c>
      <c r="H30" s="904">
        <v>7</v>
      </c>
      <c r="I30" s="904">
        <v>19</v>
      </c>
      <c r="J30" s="904">
        <v>1</v>
      </c>
      <c r="K30" s="904">
        <v>0</v>
      </c>
      <c r="L30" s="904">
        <v>0</v>
      </c>
      <c r="M30" s="904">
        <v>0</v>
      </c>
      <c r="N30" s="906">
        <v>1</v>
      </c>
      <c r="O30" s="246">
        <f t="shared" si="15"/>
        <v>269</v>
      </c>
      <c r="P30" s="241">
        <f t="shared" ref="P30" si="17">SUM(G30:N30)</f>
        <v>30</v>
      </c>
      <c r="Q30" s="151"/>
      <c r="R30" s="197" t="str">
        <f>IF(O30&gt;284,"Yes","NO")</f>
        <v>NO</v>
      </c>
      <c r="S30" s="208"/>
      <c r="T30" s="157"/>
    </row>
    <row r="31" spans="1:20" ht="18.75">
      <c r="A31" s="29" t="s">
        <v>105</v>
      </c>
      <c r="B31" s="289">
        <v>641</v>
      </c>
      <c r="C31" s="130" t="s">
        <v>55</v>
      </c>
      <c r="D31" s="230" t="s">
        <v>14</v>
      </c>
      <c r="E31" s="106" t="s">
        <v>6</v>
      </c>
      <c r="F31" s="107" t="e">
        <f t="shared" si="11"/>
        <v>#N/A</v>
      </c>
      <c r="G31" s="903">
        <v>0</v>
      </c>
      <c r="H31" s="903">
        <v>4</v>
      </c>
      <c r="I31" s="903">
        <v>19</v>
      </c>
      <c r="J31" s="903">
        <v>4</v>
      </c>
      <c r="K31" s="903">
        <v>2</v>
      </c>
      <c r="L31" s="903">
        <v>1</v>
      </c>
      <c r="M31" s="903"/>
      <c r="N31" s="1342"/>
      <c r="O31" s="246">
        <f t="shared" si="15"/>
        <v>263</v>
      </c>
      <c r="P31" s="241">
        <f t="shared" ref="P31" si="18">SUM(G31:N31)</f>
        <v>30</v>
      </c>
      <c r="Q31" s="151"/>
      <c r="R31" s="197" t="str">
        <f>IF(O31&gt;284,"Yes","NO")</f>
        <v>NO</v>
      </c>
      <c r="S31" s="208"/>
      <c r="T31" s="157"/>
    </row>
    <row r="32" spans="1:20" ht="19.5" thickBot="1">
      <c r="A32" s="29" t="s">
        <v>105</v>
      </c>
      <c r="B32" s="289">
        <v>1615</v>
      </c>
      <c r="C32" s="130" t="s">
        <v>207</v>
      </c>
      <c r="D32" s="230" t="s">
        <v>14</v>
      </c>
      <c r="E32" s="106" t="s">
        <v>6</v>
      </c>
      <c r="F32" s="107" t="e">
        <f t="shared" si="11"/>
        <v>#N/A</v>
      </c>
      <c r="G32" s="904">
        <v>0</v>
      </c>
      <c r="H32" s="904">
        <v>7</v>
      </c>
      <c r="I32" s="904">
        <v>11</v>
      </c>
      <c r="J32" s="904">
        <v>6</v>
      </c>
      <c r="K32" s="904">
        <v>5</v>
      </c>
      <c r="L32" s="904"/>
      <c r="M32" s="904"/>
      <c r="N32" s="906">
        <v>1</v>
      </c>
      <c r="O32" s="246">
        <f t="shared" si="15"/>
        <v>252</v>
      </c>
      <c r="P32" s="241">
        <f t="shared" ref="P32" si="19">SUM(G32:N32)</f>
        <v>30</v>
      </c>
      <c r="Q32" s="151"/>
      <c r="R32" s="197" t="str">
        <f>IF(O32&gt;284,"Yes","NO")</f>
        <v>NO</v>
      </c>
      <c r="S32" s="208"/>
      <c r="T32" s="157"/>
    </row>
    <row r="33" spans="1:20" ht="18.75">
      <c r="A33" s="29" t="s">
        <v>105</v>
      </c>
      <c r="B33" s="272">
        <v>1249</v>
      </c>
      <c r="C33" s="64" t="s">
        <v>218</v>
      </c>
      <c r="D33" s="177" t="s">
        <v>11</v>
      </c>
      <c r="E33" s="32" t="s">
        <v>5</v>
      </c>
      <c r="F33" s="33" t="e">
        <f t="shared" si="11"/>
        <v>#N/A</v>
      </c>
      <c r="G33" s="902">
        <v>5</v>
      </c>
      <c r="H33" s="902">
        <v>19</v>
      </c>
      <c r="I33" s="902">
        <v>6</v>
      </c>
      <c r="J33" s="902">
        <v>0</v>
      </c>
      <c r="K33" s="902">
        <v>0</v>
      </c>
      <c r="L33" s="902">
        <v>0</v>
      </c>
      <c r="M33" s="902">
        <v>0</v>
      </c>
      <c r="N33" s="929">
        <v>0</v>
      </c>
      <c r="O33" s="240">
        <f t="shared" ref="O33" si="20">(G33*10)+(H33*10)+(I33*9)+(J33*8)+(K33*7)+(L33*6)+(M33*5)</f>
        <v>294</v>
      </c>
      <c r="P33" s="332">
        <f t="shared" ref="P33:P51" si="21">SUM(G33:N33)</f>
        <v>30</v>
      </c>
      <c r="Q33" s="151"/>
      <c r="R33" s="197" t="str">
        <f t="shared" ref="R33:R39" si="22">IF(O33&gt;294,"Yes","NO")</f>
        <v>NO</v>
      </c>
      <c r="S33" s="208" t="str">
        <f t="shared" ref="S33" si="23">IF(R33="yes","M","")</f>
        <v/>
      </c>
      <c r="T33" s="157" t="str">
        <f t="shared" ref="T33" si="24">IF(O33=0," ",IF(P33&lt;&gt;30,"ERROR!"," "))</f>
        <v xml:space="preserve"> </v>
      </c>
    </row>
    <row r="34" spans="1:20" ht="18.75">
      <c r="A34" s="29" t="s">
        <v>105</v>
      </c>
      <c r="B34" s="207">
        <v>1172</v>
      </c>
      <c r="C34" s="73" t="s">
        <v>248</v>
      </c>
      <c r="D34" s="154" t="s">
        <v>7</v>
      </c>
      <c r="E34" s="50" t="s">
        <v>5</v>
      </c>
      <c r="F34" s="51" t="e">
        <f t="shared" si="11"/>
        <v>#N/A</v>
      </c>
      <c r="G34" s="301">
        <v>5</v>
      </c>
      <c r="H34" s="301">
        <v>11</v>
      </c>
      <c r="I34" s="301">
        <v>13</v>
      </c>
      <c r="J34" s="301">
        <v>1</v>
      </c>
      <c r="K34" s="301"/>
      <c r="L34" s="185"/>
      <c r="M34" s="185"/>
      <c r="N34" s="349"/>
      <c r="O34" s="246">
        <f t="shared" ref="O34:O51" si="25">(G34*10)+(H34*10)+(I34*9)+(J34*8)+(K34*7)+(L34*6)+(M34*5)</f>
        <v>285</v>
      </c>
      <c r="P34" s="241">
        <f t="shared" si="21"/>
        <v>30</v>
      </c>
      <c r="Q34" s="151"/>
      <c r="R34" s="197" t="str">
        <f t="shared" si="22"/>
        <v>NO</v>
      </c>
      <c r="S34" s="208"/>
      <c r="T34" s="157"/>
    </row>
    <row r="35" spans="1:20" ht="18.75">
      <c r="A35" s="29" t="s">
        <v>105</v>
      </c>
      <c r="B35" s="289">
        <v>1052</v>
      </c>
      <c r="C35" s="130" t="s">
        <v>75</v>
      </c>
      <c r="D35" s="230" t="s">
        <v>9</v>
      </c>
      <c r="E35" s="106" t="s">
        <v>5</v>
      </c>
      <c r="F35" s="107" t="e">
        <f t="shared" si="11"/>
        <v>#N/A</v>
      </c>
      <c r="G35" s="317">
        <v>4</v>
      </c>
      <c r="H35" s="317">
        <v>11</v>
      </c>
      <c r="I35" s="317">
        <v>14</v>
      </c>
      <c r="J35" s="317">
        <v>1</v>
      </c>
      <c r="K35" s="317"/>
      <c r="L35" s="229"/>
      <c r="M35" s="229"/>
      <c r="N35" s="350"/>
      <c r="O35" s="246">
        <f t="shared" si="25"/>
        <v>284</v>
      </c>
      <c r="P35" s="241">
        <f>SUM(G35:N35)</f>
        <v>30</v>
      </c>
      <c r="Q35" s="151"/>
      <c r="R35" s="197" t="str">
        <f>IF(O35&gt;284,"Yes","NO")</f>
        <v>NO</v>
      </c>
      <c r="S35" s="208"/>
      <c r="T35" s="157"/>
    </row>
    <row r="36" spans="1:20" ht="18.75">
      <c r="A36" s="29" t="s">
        <v>105</v>
      </c>
      <c r="B36" s="207">
        <v>1850</v>
      </c>
      <c r="C36" s="73" t="s">
        <v>200</v>
      </c>
      <c r="D36" s="154" t="s">
        <v>9</v>
      </c>
      <c r="E36" s="50" t="s">
        <v>5</v>
      </c>
      <c r="F36" s="51" t="e">
        <f t="shared" si="11"/>
        <v>#N/A</v>
      </c>
      <c r="G36" s="301">
        <v>3</v>
      </c>
      <c r="H36" s="301">
        <v>16</v>
      </c>
      <c r="I36" s="301">
        <v>7</v>
      </c>
      <c r="J36" s="301">
        <v>3</v>
      </c>
      <c r="K36" s="301">
        <v>1</v>
      </c>
      <c r="L36" s="185"/>
      <c r="M36" s="185"/>
      <c r="N36" s="349"/>
      <c r="O36" s="246">
        <f t="shared" si="25"/>
        <v>284</v>
      </c>
      <c r="P36" s="241">
        <f t="shared" si="21"/>
        <v>30</v>
      </c>
      <c r="Q36" s="151"/>
      <c r="R36" s="197" t="str">
        <f t="shared" ref="R36" si="26">IF(O36&gt;294,"Yes","NO")</f>
        <v>NO</v>
      </c>
      <c r="S36" s="208"/>
      <c r="T36" s="157"/>
    </row>
    <row r="37" spans="1:20" ht="18.75">
      <c r="A37" s="29" t="s">
        <v>105</v>
      </c>
      <c r="B37" s="207">
        <v>1952</v>
      </c>
      <c r="C37" s="73" t="s">
        <v>216</v>
      </c>
      <c r="D37" s="154" t="s">
        <v>7</v>
      </c>
      <c r="E37" s="50" t="s">
        <v>5</v>
      </c>
      <c r="F37" s="51" t="e">
        <f t="shared" si="11"/>
        <v>#N/A</v>
      </c>
      <c r="G37" s="301">
        <v>5</v>
      </c>
      <c r="H37" s="301">
        <v>7</v>
      </c>
      <c r="I37" s="301">
        <v>13</v>
      </c>
      <c r="J37" s="301">
        <v>5</v>
      </c>
      <c r="K37" s="301"/>
      <c r="L37" s="185"/>
      <c r="M37" s="185"/>
      <c r="N37" s="349"/>
      <c r="O37" s="246">
        <f t="shared" si="25"/>
        <v>277</v>
      </c>
      <c r="P37" s="241">
        <f t="shared" si="21"/>
        <v>30</v>
      </c>
      <c r="Q37" s="151"/>
      <c r="R37" s="197" t="str">
        <f t="shared" ref="R37:R38" si="27">IF(O37&gt;294,"Yes","NO")</f>
        <v>NO</v>
      </c>
      <c r="S37" s="208"/>
      <c r="T37" s="157"/>
    </row>
    <row r="38" spans="1:20" ht="18.75">
      <c r="A38" s="29" t="s">
        <v>105</v>
      </c>
      <c r="B38" s="183">
        <v>1244</v>
      </c>
      <c r="C38" s="73" t="s">
        <v>225</v>
      </c>
      <c r="D38" s="154" t="s">
        <v>11</v>
      </c>
      <c r="E38" s="50" t="s">
        <v>5</v>
      </c>
      <c r="F38" s="51" t="e">
        <f t="shared" si="11"/>
        <v>#N/A</v>
      </c>
      <c r="G38" s="908">
        <v>6</v>
      </c>
      <c r="H38" s="908">
        <v>10</v>
      </c>
      <c r="I38" s="908">
        <v>11</v>
      </c>
      <c r="J38" s="908">
        <v>2</v>
      </c>
      <c r="K38" s="908">
        <v>0</v>
      </c>
      <c r="L38" s="908">
        <v>0</v>
      </c>
      <c r="M38" s="908">
        <v>0</v>
      </c>
      <c r="N38" s="908">
        <v>1</v>
      </c>
      <c r="O38" s="246">
        <f t="shared" si="25"/>
        <v>275</v>
      </c>
      <c r="P38" s="241">
        <f t="shared" si="21"/>
        <v>30</v>
      </c>
      <c r="Q38" s="151"/>
      <c r="R38" s="197" t="str">
        <f t="shared" si="27"/>
        <v>NO</v>
      </c>
      <c r="S38" s="208"/>
      <c r="T38" s="157"/>
    </row>
    <row r="39" spans="1:20" ht="18.75">
      <c r="A39" s="29" t="s">
        <v>105</v>
      </c>
      <c r="B39" s="207">
        <v>1263</v>
      </c>
      <c r="C39" s="73" t="s">
        <v>235</v>
      </c>
      <c r="D39" s="154" t="s">
        <v>11</v>
      </c>
      <c r="E39" s="50" t="s">
        <v>5</v>
      </c>
      <c r="F39" s="51" t="e">
        <f t="shared" si="11"/>
        <v>#N/A</v>
      </c>
      <c r="G39" s="904">
        <v>2</v>
      </c>
      <c r="H39" s="904">
        <v>10</v>
      </c>
      <c r="I39" s="904">
        <v>8</v>
      </c>
      <c r="J39" s="904">
        <v>8</v>
      </c>
      <c r="K39" s="904">
        <v>2</v>
      </c>
      <c r="L39" s="904">
        <v>0</v>
      </c>
      <c r="M39" s="904">
        <v>0</v>
      </c>
      <c r="N39" s="906">
        <v>0</v>
      </c>
      <c r="O39" s="246">
        <f t="shared" si="25"/>
        <v>270</v>
      </c>
      <c r="P39" s="241">
        <f t="shared" si="21"/>
        <v>30</v>
      </c>
      <c r="Q39" s="151"/>
      <c r="R39" s="197" t="str">
        <f t="shared" si="22"/>
        <v>NO</v>
      </c>
      <c r="S39" s="208"/>
      <c r="T39" s="157"/>
    </row>
    <row r="40" spans="1:20" ht="18.75">
      <c r="A40" s="29" t="s">
        <v>105</v>
      </c>
      <c r="B40" s="207">
        <v>1837</v>
      </c>
      <c r="C40" s="73" t="s">
        <v>244</v>
      </c>
      <c r="D40" s="154" t="s">
        <v>9</v>
      </c>
      <c r="E40" s="50" t="s">
        <v>5</v>
      </c>
      <c r="F40" s="51" t="e">
        <f t="shared" si="11"/>
        <v>#N/A</v>
      </c>
      <c r="G40" s="900">
        <v>1</v>
      </c>
      <c r="H40" s="900">
        <v>9</v>
      </c>
      <c r="I40" s="900">
        <v>12</v>
      </c>
      <c r="J40" s="900">
        <v>4</v>
      </c>
      <c r="K40" s="900">
        <v>4</v>
      </c>
      <c r="L40" s="900"/>
      <c r="M40" s="900"/>
      <c r="N40" s="909"/>
      <c r="O40" s="246">
        <f t="shared" si="25"/>
        <v>268</v>
      </c>
      <c r="P40" s="241">
        <f t="shared" si="21"/>
        <v>30</v>
      </c>
      <c r="Q40" s="150"/>
      <c r="R40" s="197" t="str">
        <f>IF(O40&gt;297,"Yes","NO")</f>
        <v>NO</v>
      </c>
      <c r="S40" s="208" t="str">
        <f>IF(R40="yes","HM","")</f>
        <v/>
      </c>
      <c r="T40" s="157" t="str">
        <f>IF(O40=0," ",IF(P40&lt;&gt;30,"ERROR!"," "))</f>
        <v xml:space="preserve"> </v>
      </c>
    </row>
    <row r="41" spans="1:20" ht="18.75">
      <c r="A41" s="29" t="s">
        <v>105</v>
      </c>
      <c r="B41" s="207">
        <v>2165</v>
      </c>
      <c r="C41" s="73" t="s">
        <v>63</v>
      </c>
      <c r="D41" s="154" t="s">
        <v>11</v>
      </c>
      <c r="E41" s="50" t="s">
        <v>5</v>
      </c>
      <c r="F41" s="51" t="e">
        <f t="shared" si="11"/>
        <v>#N/A</v>
      </c>
      <c r="G41" s="904">
        <v>6</v>
      </c>
      <c r="H41" s="904">
        <v>9</v>
      </c>
      <c r="I41" s="904">
        <v>8</v>
      </c>
      <c r="J41" s="904">
        <v>2</v>
      </c>
      <c r="K41" s="904">
        <v>3</v>
      </c>
      <c r="L41" s="904">
        <v>1</v>
      </c>
      <c r="M41" s="904">
        <v>0</v>
      </c>
      <c r="N41" s="906">
        <v>1</v>
      </c>
      <c r="O41" s="246">
        <f t="shared" si="25"/>
        <v>265</v>
      </c>
      <c r="P41" s="241">
        <f t="shared" si="21"/>
        <v>30</v>
      </c>
      <c r="Q41" s="150"/>
      <c r="R41" s="197" t="str">
        <f>IF(O41&gt;297,"Yes","NO")</f>
        <v>NO</v>
      </c>
      <c r="S41" s="208"/>
      <c r="T41" s="157"/>
    </row>
    <row r="42" spans="1:20" ht="18.75">
      <c r="A42" s="29" t="s">
        <v>105</v>
      </c>
      <c r="B42" s="207">
        <v>2578</v>
      </c>
      <c r="C42" s="73" t="s">
        <v>44</v>
      </c>
      <c r="D42" s="154" t="s">
        <v>11</v>
      </c>
      <c r="E42" s="50" t="s">
        <v>5</v>
      </c>
      <c r="F42" s="51" t="e">
        <f t="shared" si="11"/>
        <v>#N/A</v>
      </c>
      <c r="G42" s="899">
        <v>3</v>
      </c>
      <c r="H42" s="899">
        <v>6</v>
      </c>
      <c r="I42" s="899">
        <v>11</v>
      </c>
      <c r="J42" s="899">
        <v>6</v>
      </c>
      <c r="K42" s="899">
        <v>2</v>
      </c>
      <c r="L42" s="899">
        <v>2</v>
      </c>
      <c r="M42" s="899">
        <v>0</v>
      </c>
      <c r="N42" s="899">
        <v>0</v>
      </c>
      <c r="O42" s="246">
        <f t="shared" si="25"/>
        <v>263</v>
      </c>
      <c r="P42" s="241">
        <f t="shared" si="21"/>
        <v>30</v>
      </c>
      <c r="Q42" s="150"/>
      <c r="R42" s="197" t="str">
        <f t="shared" ref="R42:R47" si="28">IF(O42&gt;294,"Yes","NO")</f>
        <v>NO</v>
      </c>
      <c r="S42" s="208" t="str">
        <f>IF(R42="yes","M","")</f>
        <v/>
      </c>
      <c r="T42" s="157" t="str">
        <f t="shared" ref="T42:T47" si="29">IF(O42=0," ",IF(P42&lt;&gt;30,"ERROR!"," "))</f>
        <v xml:space="preserve"> </v>
      </c>
    </row>
    <row r="43" spans="1:20" ht="18.75">
      <c r="A43" s="29" t="s">
        <v>105</v>
      </c>
      <c r="B43" s="207">
        <v>2521</v>
      </c>
      <c r="C43" s="73" t="s">
        <v>211</v>
      </c>
      <c r="D43" s="154" t="s">
        <v>9</v>
      </c>
      <c r="E43" s="50" t="s">
        <v>5</v>
      </c>
      <c r="F43" s="51" t="e">
        <f t="shared" si="11"/>
        <v>#N/A</v>
      </c>
      <c r="G43" s="301">
        <v>3</v>
      </c>
      <c r="H43" s="301">
        <v>5</v>
      </c>
      <c r="I43" s="301">
        <v>11</v>
      </c>
      <c r="J43" s="301">
        <v>7</v>
      </c>
      <c r="K43" s="301">
        <v>2</v>
      </c>
      <c r="L43" s="185">
        <v>1</v>
      </c>
      <c r="M43" s="185"/>
      <c r="N43" s="907">
        <v>1</v>
      </c>
      <c r="O43" s="246">
        <f t="shared" si="25"/>
        <v>255</v>
      </c>
      <c r="P43" s="241">
        <f t="shared" si="21"/>
        <v>30</v>
      </c>
      <c r="Q43" s="150"/>
      <c r="R43" s="197" t="str">
        <f t="shared" si="28"/>
        <v>NO</v>
      </c>
      <c r="S43" s="208" t="str">
        <f>IF(R43="yes","M","")</f>
        <v/>
      </c>
      <c r="T43" s="157" t="str">
        <f t="shared" si="29"/>
        <v xml:space="preserve"> </v>
      </c>
    </row>
    <row r="44" spans="1:20" ht="18.75">
      <c r="A44" s="29" t="s">
        <v>105</v>
      </c>
      <c r="B44" s="207">
        <v>2520</v>
      </c>
      <c r="C44" s="73" t="s">
        <v>213</v>
      </c>
      <c r="D44" s="154" t="s">
        <v>9</v>
      </c>
      <c r="E44" s="50" t="s">
        <v>5</v>
      </c>
      <c r="F44" s="51" t="e">
        <f t="shared" si="11"/>
        <v>#N/A</v>
      </c>
      <c r="G44" s="903">
        <v>2</v>
      </c>
      <c r="H44" s="903">
        <v>3</v>
      </c>
      <c r="I44" s="903">
        <v>10</v>
      </c>
      <c r="J44" s="903">
        <v>10</v>
      </c>
      <c r="K44" s="903">
        <v>4</v>
      </c>
      <c r="L44" s="903"/>
      <c r="M44" s="903">
        <v>1</v>
      </c>
      <c r="N44" s="903">
        <v>0</v>
      </c>
      <c r="O44" s="246">
        <f t="shared" si="25"/>
        <v>253</v>
      </c>
      <c r="P44" s="241">
        <f t="shared" si="21"/>
        <v>30</v>
      </c>
      <c r="Q44" s="150"/>
      <c r="R44" s="197" t="str">
        <f t="shared" si="28"/>
        <v>NO</v>
      </c>
      <c r="S44" s="208" t="str">
        <f>IF(R44="yes","M","")</f>
        <v/>
      </c>
      <c r="T44" s="157" t="str">
        <f t="shared" si="29"/>
        <v xml:space="preserve"> </v>
      </c>
    </row>
    <row r="45" spans="1:20" ht="18.75">
      <c r="A45" s="29" t="s">
        <v>105</v>
      </c>
      <c r="B45" s="207">
        <v>1050</v>
      </c>
      <c r="C45" s="73" t="s">
        <v>80</v>
      </c>
      <c r="D45" s="154" t="s">
        <v>9</v>
      </c>
      <c r="E45" s="50" t="s">
        <v>5</v>
      </c>
      <c r="F45" s="51" t="e">
        <f t="shared" si="11"/>
        <v>#N/A</v>
      </c>
      <c r="G45" s="900">
        <v>3</v>
      </c>
      <c r="H45" s="900">
        <v>7</v>
      </c>
      <c r="I45" s="900">
        <v>9</v>
      </c>
      <c r="J45" s="900">
        <v>8</v>
      </c>
      <c r="K45" s="900">
        <v>1</v>
      </c>
      <c r="L45" s="900"/>
      <c r="M45" s="900"/>
      <c r="N45" s="909">
        <v>2</v>
      </c>
      <c r="O45" s="246">
        <f t="shared" si="25"/>
        <v>252</v>
      </c>
      <c r="P45" s="241">
        <f t="shared" si="21"/>
        <v>30</v>
      </c>
      <c r="Q45" s="150"/>
      <c r="R45" s="197" t="str">
        <f t="shared" si="28"/>
        <v>NO</v>
      </c>
      <c r="S45" s="208" t="str">
        <f>IF(R45="yes","M","")</f>
        <v/>
      </c>
      <c r="T45" s="157" t="str">
        <f t="shared" si="29"/>
        <v xml:space="preserve"> </v>
      </c>
    </row>
    <row r="46" spans="1:20" ht="18.75">
      <c r="A46" s="29" t="s">
        <v>105</v>
      </c>
      <c r="B46" s="207">
        <v>1984</v>
      </c>
      <c r="C46" s="73" t="s">
        <v>81</v>
      </c>
      <c r="D46" s="154" t="s">
        <v>14</v>
      </c>
      <c r="E46" s="50" t="s">
        <v>5</v>
      </c>
      <c r="F46" s="51" t="e">
        <f t="shared" si="11"/>
        <v>#N/A</v>
      </c>
      <c r="G46" s="320">
        <v>1</v>
      </c>
      <c r="H46" s="320">
        <v>3</v>
      </c>
      <c r="I46" s="320">
        <v>14</v>
      </c>
      <c r="J46" s="320">
        <v>4</v>
      </c>
      <c r="K46" s="320">
        <v>5</v>
      </c>
      <c r="L46" s="215">
        <v>3</v>
      </c>
      <c r="M46" s="215"/>
      <c r="N46" s="216"/>
      <c r="O46" s="246">
        <f t="shared" si="25"/>
        <v>251</v>
      </c>
      <c r="P46" s="241">
        <f t="shared" si="21"/>
        <v>30</v>
      </c>
      <c r="Q46" s="150"/>
      <c r="R46" s="197" t="str">
        <f t="shared" si="28"/>
        <v>NO</v>
      </c>
      <c r="S46" s="208" t="str">
        <f t="shared" ref="S46:S47" si="30">IF(R46="yes","M","")</f>
        <v/>
      </c>
      <c r="T46" s="157" t="str">
        <f t="shared" si="29"/>
        <v xml:space="preserve"> </v>
      </c>
    </row>
    <row r="47" spans="1:20" ht="18.75">
      <c r="A47" s="29" t="s">
        <v>105</v>
      </c>
      <c r="B47" s="207">
        <v>168</v>
      </c>
      <c r="C47" s="73" t="s">
        <v>83</v>
      </c>
      <c r="D47" s="154" t="s">
        <v>7</v>
      </c>
      <c r="E47" s="50" t="s">
        <v>5</v>
      </c>
      <c r="F47" s="51" t="e">
        <f t="shared" si="11"/>
        <v>#N/A</v>
      </c>
      <c r="G47" s="320">
        <v>1</v>
      </c>
      <c r="H47" s="320">
        <v>1</v>
      </c>
      <c r="I47" s="320">
        <v>9</v>
      </c>
      <c r="J47" s="320">
        <v>12</v>
      </c>
      <c r="K47" s="320">
        <v>6</v>
      </c>
      <c r="L47" s="215">
        <v>1</v>
      </c>
      <c r="M47" s="215"/>
      <c r="N47" s="216"/>
      <c r="O47" s="246">
        <f t="shared" si="25"/>
        <v>245</v>
      </c>
      <c r="P47" s="241">
        <f t="shared" si="21"/>
        <v>30</v>
      </c>
      <c r="Q47" s="151"/>
      <c r="R47" s="202" t="str">
        <f t="shared" si="28"/>
        <v>NO</v>
      </c>
      <c r="S47" s="203" t="str">
        <f t="shared" si="30"/>
        <v/>
      </c>
      <c r="T47" s="157" t="str">
        <f t="shared" si="29"/>
        <v xml:space="preserve"> </v>
      </c>
    </row>
    <row r="48" spans="1:20" ht="18.75">
      <c r="A48" s="29" t="s">
        <v>105</v>
      </c>
      <c r="B48" s="289">
        <v>1983</v>
      </c>
      <c r="C48" s="130" t="s">
        <v>84</v>
      </c>
      <c r="D48" s="230" t="s">
        <v>14</v>
      </c>
      <c r="E48" s="106" t="s">
        <v>5</v>
      </c>
      <c r="F48" s="107" t="e">
        <f t="shared" si="11"/>
        <v>#N/A</v>
      </c>
      <c r="G48" s="317">
        <v>0</v>
      </c>
      <c r="H48" s="317">
        <v>5</v>
      </c>
      <c r="I48" s="317">
        <v>14</v>
      </c>
      <c r="J48" s="317">
        <v>4</v>
      </c>
      <c r="K48" s="317">
        <v>5</v>
      </c>
      <c r="L48" s="229"/>
      <c r="M48" s="229"/>
      <c r="N48" s="350">
        <v>2</v>
      </c>
      <c r="O48" s="246">
        <f t="shared" si="25"/>
        <v>243</v>
      </c>
      <c r="P48" s="241">
        <f t="shared" si="21"/>
        <v>30</v>
      </c>
      <c r="Q48" s="151"/>
      <c r="R48" s="197" t="str">
        <f t="shared" ref="R48:R50" si="31">IF(O48&gt;284,"Yes","NO")</f>
        <v>NO</v>
      </c>
      <c r="S48" s="208"/>
      <c r="T48" s="157"/>
    </row>
    <row r="49" spans="1:20" ht="18.75">
      <c r="A49" s="29" t="s">
        <v>105</v>
      </c>
      <c r="B49" s="289">
        <v>1922</v>
      </c>
      <c r="C49" s="130" t="s">
        <v>224</v>
      </c>
      <c r="D49" s="230" t="s">
        <v>11</v>
      </c>
      <c r="E49" s="106" t="s">
        <v>5</v>
      </c>
      <c r="F49" s="107" t="e">
        <f t="shared" si="11"/>
        <v>#N/A</v>
      </c>
      <c r="G49" s="1127">
        <v>1</v>
      </c>
      <c r="H49" s="1127">
        <v>3</v>
      </c>
      <c r="I49" s="1127">
        <v>12</v>
      </c>
      <c r="J49" s="1127">
        <v>9</v>
      </c>
      <c r="K49" s="1127">
        <v>3</v>
      </c>
      <c r="L49" s="1127">
        <v>0</v>
      </c>
      <c r="M49" s="1127">
        <v>0</v>
      </c>
      <c r="N49" s="1128">
        <v>2</v>
      </c>
      <c r="O49" s="246">
        <f t="shared" si="25"/>
        <v>241</v>
      </c>
      <c r="P49" s="241">
        <f t="shared" si="21"/>
        <v>30</v>
      </c>
      <c r="Q49" s="151"/>
      <c r="R49" s="197" t="str">
        <f t="shared" si="31"/>
        <v>NO</v>
      </c>
      <c r="S49" s="208"/>
      <c r="T49" s="157"/>
    </row>
    <row r="50" spans="1:20" ht="18.75">
      <c r="A50" s="29" t="s">
        <v>105</v>
      </c>
      <c r="B50" s="289">
        <v>1687</v>
      </c>
      <c r="C50" s="130" t="s">
        <v>230</v>
      </c>
      <c r="D50" s="230" t="s">
        <v>11</v>
      </c>
      <c r="E50" s="106" t="s">
        <v>5</v>
      </c>
      <c r="F50" s="107" t="e">
        <f t="shared" si="11"/>
        <v>#N/A</v>
      </c>
      <c r="G50" s="920">
        <v>0</v>
      </c>
      <c r="H50" s="920">
        <v>5</v>
      </c>
      <c r="I50" s="920">
        <v>6</v>
      </c>
      <c r="J50" s="920">
        <v>6</v>
      </c>
      <c r="K50" s="920">
        <v>5</v>
      </c>
      <c r="L50" s="920">
        <v>3</v>
      </c>
      <c r="M50" s="920">
        <v>3</v>
      </c>
      <c r="N50" s="1129">
        <v>2</v>
      </c>
      <c r="O50" s="246">
        <f t="shared" si="25"/>
        <v>220</v>
      </c>
      <c r="P50" s="241">
        <f t="shared" si="21"/>
        <v>30</v>
      </c>
      <c r="Q50" s="151"/>
      <c r="R50" s="197" t="str">
        <f t="shared" si="31"/>
        <v>NO</v>
      </c>
      <c r="S50" s="208"/>
      <c r="T50" s="157"/>
    </row>
    <row r="51" spans="1:20" ht="19.5" thickBot="1">
      <c r="A51" s="29" t="s">
        <v>105</v>
      </c>
      <c r="B51" s="290">
        <v>1725</v>
      </c>
      <c r="C51" s="111" t="s">
        <v>62</v>
      </c>
      <c r="D51" s="115" t="s">
        <v>14</v>
      </c>
      <c r="E51" s="59" t="s">
        <v>5</v>
      </c>
      <c r="F51" s="60" t="e">
        <f t="shared" si="11"/>
        <v>#N/A</v>
      </c>
      <c r="G51" s="303">
        <v>0</v>
      </c>
      <c r="H51" s="303">
        <v>0</v>
      </c>
      <c r="I51" s="303">
        <v>1</v>
      </c>
      <c r="J51" s="303">
        <v>4</v>
      </c>
      <c r="K51" s="303">
        <v>11</v>
      </c>
      <c r="L51" s="192">
        <v>4</v>
      </c>
      <c r="M51" s="192">
        <v>2</v>
      </c>
      <c r="N51" s="875">
        <v>8</v>
      </c>
      <c r="O51" s="338">
        <f t="shared" si="25"/>
        <v>152</v>
      </c>
      <c r="P51" s="339">
        <f t="shared" si="21"/>
        <v>30</v>
      </c>
      <c r="Q51" s="151"/>
      <c r="R51" s="197" t="str">
        <f t="shared" ref="R51" si="32">IF(O51&gt;284,"Yes","NO")</f>
        <v>NO</v>
      </c>
      <c r="S51" s="208"/>
      <c r="T51" s="157"/>
    </row>
    <row r="52" spans="1:20" ht="19.5" thickBot="1">
      <c r="A52" s="3"/>
      <c r="B52" s="231">
        <f>COUNT(B10:B51)</f>
        <v>42</v>
      </c>
      <c r="C52" s="1456" t="s">
        <v>32</v>
      </c>
      <c r="D52" s="1468"/>
      <c r="E52" s="1461" t="s">
        <v>106</v>
      </c>
      <c r="F52" s="1462"/>
      <c r="G52" s="1462"/>
      <c r="H52" s="1462"/>
      <c r="I52" s="1462"/>
      <c r="J52" s="1462"/>
      <c r="K52" s="1462"/>
      <c r="L52" s="1462"/>
      <c r="M52" s="1462"/>
      <c r="N52" s="1462"/>
      <c r="O52" s="1462"/>
      <c r="P52" s="1463"/>
      <c r="Q52" s="12"/>
      <c r="R52" s="156"/>
      <c r="S52" s="335"/>
      <c r="T52" s="12"/>
    </row>
    <row r="53" spans="1:20" ht="15.75">
      <c r="A53" s="3"/>
      <c r="B53" s="4"/>
      <c r="C53" s="335"/>
      <c r="D53" s="335"/>
      <c r="E53" s="351"/>
      <c r="F53" s="335"/>
      <c r="G53" s="352"/>
      <c r="H53" s="352"/>
      <c r="I53" s="352"/>
      <c r="J53" s="352"/>
      <c r="K53" s="352"/>
      <c r="L53" s="294"/>
      <c r="M53" s="293"/>
      <c r="N53" s="294"/>
      <c r="O53" s="277"/>
      <c r="P53" s="353"/>
      <c r="Q53" s="12"/>
      <c r="R53" s="156"/>
      <c r="S53" s="335"/>
      <c r="T53" s="12"/>
    </row>
    <row r="54" spans="1:20" ht="15.75">
      <c r="A54" s="3" t="s">
        <v>107</v>
      </c>
      <c r="B54" s="4"/>
      <c r="C54" s="5"/>
      <c r="D54" s="5"/>
      <c r="E54" s="6"/>
      <c r="F54" s="5"/>
      <c r="G54" s="7"/>
      <c r="H54" s="7"/>
      <c r="I54" s="7"/>
      <c r="J54" s="7"/>
      <c r="K54" s="7"/>
      <c r="L54" s="8"/>
      <c r="M54" s="9"/>
      <c r="N54" s="8"/>
      <c r="O54" s="10"/>
      <c r="P54" s="11"/>
      <c r="Q54" s="12"/>
      <c r="R54" s="12"/>
      <c r="S54" s="12"/>
      <c r="T54" s="12"/>
    </row>
  </sheetData>
  <sortState ref="B34:O52">
    <sortCondition descending="1" ref="O33"/>
  </sortState>
  <mergeCells count="5">
    <mergeCell ref="A2:S2"/>
    <mergeCell ref="B4:S4"/>
    <mergeCell ref="C6:O6"/>
    <mergeCell ref="C52:D52"/>
    <mergeCell ref="E52:P5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1500</vt:lpstr>
      <vt:lpstr>600</vt:lpstr>
      <vt:lpstr>SSA_SR</vt:lpstr>
      <vt:lpstr>PPA</vt:lpstr>
      <vt:lpstr>PPB</vt:lpstr>
      <vt:lpstr>Opticals</vt:lpstr>
      <vt:lpstr>Serv A</vt:lpstr>
      <vt:lpstr>Serv B</vt:lpstr>
      <vt:lpstr>Pocket</vt:lpstr>
      <vt:lpstr>Carry</vt:lpstr>
      <vt:lpstr>Magnum</vt:lpstr>
      <vt:lpstr>RIFLES</vt:lpstr>
      <vt:lpstr>SP CF L25</vt:lpstr>
      <vt:lpstr>Air Pistol</vt:lpstr>
      <vt:lpstr>FP 50Y</vt:lpstr>
      <vt:lpstr>RFP MRF</vt:lpstr>
      <vt:lpstr>STD Pistol</vt:lpstr>
      <vt:lpstr>'STD Pistol'!Print_Area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SAPSPA</dc:creator>
  <cp:lastModifiedBy>Elco</cp:lastModifiedBy>
  <cp:lastPrinted>2023-09-09T13:13:00Z</cp:lastPrinted>
  <dcterms:created xsi:type="dcterms:W3CDTF">2022-09-13T10:22:17Z</dcterms:created>
  <dcterms:modified xsi:type="dcterms:W3CDTF">2023-09-14T15:30:17Z</dcterms:modified>
</cp:coreProperties>
</file>